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61" windowWidth="15180" windowHeight="8580" tabRatio="806" firstSheet="1" activeTab="1"/>
  </bookViews>
  <sheets>
    <sheet name="Evolutions" sheetId="1" state="hidden" r:id="rId1"/>
    <sheet name="Page de garde" sheetId="2" r:id="rId2"/>
    <sheet name="Synthèse" sheetId="3" r:id="rId3"/>
    <sheet name="Puissance_installée" sheetId="4" r:id="rId4"/>
    <sheet name="Economie_énergie" sheetId="5" r:id="rId5"/>
    <sheet name="Economie_lampes" sheetId="6" r:id="rId6"/>
    <sheet name="Lubio" sheetId="7" r:id="rId7"/>
    <sheet name="Tarifs" sheetId="8" r:id="rId8"/>
    <sheet name="Simulation" sheetId="9" r:id="rId9"/>
    <sheet name="Economie d'énergie" sheetId="10" r:id="rId10"/>
    <sheet name="Energie" sheetId="11" r:id="rId11"/>
    <sheet name="Graphe économie_1" sheetId="12" r:id="rId12"/>
    <sheet name="Graphe économie_2" sheetId="13" r:id="rId13"/>
  </sheets>
  <definedNames>
    <definedName name="coeff">'Tarifs'!$B$7</definedName>
    <definedName name="conso_actuelle">'Economie_énergie'!$C$11</definedName>
    <definedName name="conso_annuelle">'Synthèse'!#REF!</definedName>
    <definedName name="conso_lubio">'Economie_énergie'!$G$11</definedName>
    <definedName name="conso_régul">'Synthèse'!#REF!</definedName>
    <definedName name="Coût_kwh">'Economie_énergie'!$C$15</definedName>
    <definedName name="coût_kwh_1">'Synthèse'!#REF!</definedName>
    <definedName name="début_eco">'Simulation'!$C$15</definedName>
    <definedName name="economie">'Synthèse'!$C$7</definedName>
    <definedName name="Economie_energie">'Synthèse'!$C$12</definedName>
    <definedName name="Economie_lampes">'Synthèse'!$C$14</definedName>
    <definedName name="Esclave_6_kVA">'Tarifs'!$B$4</definedName>
    <definedName name="Esclave_6_kVA_coeff">'Tarifs'!$B$12</definedName>
    <definedName name="fin_eco">'Simulation'!$D$15</definedName>
    <definedName name="Gain_total">'Synthèse'!$C$16</definedName>
    <definedName name="heure_economie">'Simulation'!$O$380</definedName>
    <definedName name="heure_totale">'Simulation'!$N$381</definedName>
    <definedName name="investissement">'Synthèse'!#REF!</definedName>
    <definedName name="investissement_total">'Synthèse'!$C$18</definedName>
    <definedName name="lampes_L1">'Puissance_installée'!$D$20</definedName>
    <definedName name="lampes_L2">'Puissance_installée'!$E$20</definedName>
    <definedName name="lampes_L3">'Puissance_installée'!$F$20</definedName>
    <definedName name="main_oeuvre">'Economie_lampes'!$C$11</definedName>
    <definedName name="Maître_3_kVA_VR">'Tarifs'!$C$5</definedName>
    <definedName name="Maître_3_kVA_VR_coeff">'Tarifs'!$C$13</definedName>
    <definedName name="Maître_3_kVA_VRI">'Tarifs'!$B$5</definedName>
    <definedName name="Maître_3_kVA_VRI_coeff">'Tarifs'!$B$13</definedName>
    <definedName name="Maître_6_kVA_VR">'Tarifs'!$C$3</definedName>
    <definedName name="Maître_6_kVA_VR_coeff">'Tarifs'!$C$11</definedName>
    <definedName name="Maître_6_kVA_VRI">'Tarifs'!$B$3</definedName>
    <definedName name="Maître_6_kVA_VRI_coeff">'Tarifs'!$B$11</definedName>
    <definedName name="Maître_6kVA_VR">'Tarifs'!$C$3</definedName>
    <definedName name="nbre_heure">'Economie_énergie'!$C$7</definedName>
    <definedName name="Nombre_de_lampes">'Economie_lampes'!$C$7</definedName>
    <definedName name="Nombre_de_Lubio">'Synthèse'!#REF!</definedName>
    <definedName name="points_lumineux">'Synthèse'!$C$3</definedName>
    <definedName name="prix_lampes">'Puissance_installée'!$L$20</definedName>
    <definedName name="prix_lubio">'Lubio'!$O$5:$T$29</definedName>
    <definedName name="puissance">'Synthèse'!$C$4</definedName>
    <definedName name="Puissance_à_la_tension_réseau">'Economie_énergie'!$C$26</definedName>
    <definedName name="Puissance_active">'Puissance_installée'!$B$43</definedName>
    <definedName name="puissance_apparente">'Puissance_installée'!$B$45</definedName>
    <definedName name="puissance_ballon">'Puissance_installée'!$N$6:$P$10</definedName>
    <definedName name="puissance_consommée">'Synthèse'!$C$5</definedName>
    <definedName name="Puissance_en_economie">'Economie_énergie'!$G$27</definedName>
    <definedName name="Puissance_en_nominale">'Economie_énergie'!$G$26</definedName>
    <definedName name="puissance_im">'Puissance_installée'!$N$20:$P$26</definedName>
    <definedName name="puissance_vshp">'Puissance_installée'!$N$12:$P$18</definedName>
    <definedName name="Remise">'Synthèse'!$I$3</definedName>
    <definedName name="tension_eco">'Economie_énergie'!$G$7</definedName>
    <definedName name="Tension_nominale">'Economie_énergie'!$G$6</definedName>
    <definedName name="tension_secteur">'Economie_énergie'!$C$6</definedName>
    <definedName name="VRI_18_kVA">'Synthèse'!$H$3</definedName>
    <definedName name="_xlnm.Print_Area" localSheetId="4">'Economie_énergie'!$B$3:$G$20</definedName>
    <definedName name="_xlnm.Print_Area" localSheetId="5">'Economie_lampes'!$B$3:$G$18</definedName>
    <definedName name="_xlnm.Print_Area" localSheetId="6">'Lubio'!$A$2:$L$14</definedName>
    <definedName name="_xlnm.Print_Area" localSheetId="1">'Page de garde'!$A$1:$D$51</definedName>
    <definedName name="_xlnm.Print_Area" localSheetId="2">'Synthèse'!$A$1:$E$20</definedName>
  </definedNames>
  <calcPr fullCalcOnLoad="1"/>
</workbook>
</file>

<file path=xl/sharedStrings.xml><?xml version="1.0" encoding="utf-8"?>
<sst xmlns="http://schemas.openxmlformats.org/spreadsheetml/2006/main" count="973" uniqueCount="546">
  <si>
    <t>Type de lampes</t>
  </si>
  <si>
    <t>Iodure métallique</t>
  </si>
  <si>
    <t>Puissance consommée avec appareillage</t>
  </si>
  <si>
    <t>Cosinus phi</t>
  </si>
  <si>
    <t>Tension nominale</t>
  </si>
  <si>
    <t>Tension d'économie</t>
  </si>
  <si>
    <t>Tension d'entrée secteur</t>
  </si>
  <si>
    <t>Nombre d'heure de fonctionnement total</t>
  </si>
  <si>
    <t>Nombre d'heure de fonctionnement en économie</t>
  </si>
  <si>
    <t>Consommation actuelle en kWh</t>
  </si>
  <si>
    <t>Courant nécessaire à la tension nominale (A)</t>
  </si>
  <si>
    <t>Economie d'énergie</t>
  </si>
  <si>
    <t>Coût du kWh en €</t>
  </si>
  <si>
    <t>Economie annuelle</t>
  </si>
  <si>
    <t>L1</t>
  </si>
  <si>
    <t>L2</t>
  </si>
  <si>
    <t>L3</t>
  </si>
  <si>
    <t>Puissance active totale</t>
  </si>
  <si>
    <t>Situation actuelle</t>
  </si>
  <si>
    <t>ans</t>
  </si>
  <si>
    <t>Retour sur investissement.
Sans tenir compte : 
- des aides possibles dans le cadre des économies d'énergie, 
- du coût d'installation,
- du coût du crédit.</t>
  </si>
  <si>
    <t>€</t>
  </si>
  <si>
    <t>Montant de l'investissement</t>
  </si>
  <si>
    <t>Gain total</t>
  </si>
  <si>
    <t>Economie sur la durée de vie des lampes</t>
  </si>
  <si>
    <t>Economie sur la facture énergétique</t>
  </si>
  <si>
    <t>kg</t>
  </si>
  <si>
    <t>kWh</t>
  </si>
  <si>
    <t>Economie réalisée avec Lubio</t>
  </si>
  <si>
    <t>kW</t>
  </si>
  <si>
    <t>Puissance totale</t>
  </si>
  <si>
    <t>VRI 18 kVA</t>
  </si>
  <si>
    <t>Remise</t>
  </si>
  <si>
    <t>Prix Tarif</t>
  </si>
  <si>
    <t>Recensement du parc de lampes</t>
  </si>
  <si>
    <t>Mesures sur le terrain</t>
  </si>
  <si>
    <t>Paramètres</t>
  </si>
  <si>
    <t>U</t>
  </si>
  <si>
    <t>I</t>
  </si>
  <si>
    <t>Paramètres électriques</t>
  </si>
  <si>
    <t>cos phi</t>
  </si>
  <si>
    <t>Départ L1</t>
  </si>
  <si>
    <t>Départ L2</t>
  </si>
  <si>
    <t>Départ L3</t>
  </si>
  <si>
    <t>TOTAL</t>
  </si>
  <si>
    <t>Puissance active sous 230 V</t>
  </si>
  <si>
    <t>Puissance en W
sous 230 V</t>
  </si>
  <si>
    <t>Quantités</t>
  </si>
  <si>
    <t>Puissance active totale sous 230 V (W)</t>
  </si>
  <si>
    <t>Puissance apparente sous 230 V (VA)</t>
  </si>
  <si>
    <t>Bilan des économies d'énergie</t>
  </si>
  <si>
    <t>Bilan des économies sur les lampes</t>
  </si>
  <si>
    <t>Situation avec Lubio</t>
  </si>
  <si>
    <t>Nombre de lampes</t>
  </si>
  <si>
    <t>Prix des lampes</t>
  </si>
  <si>
    <t>Coût annuel</t>
  </si>
  <si>
    <t>Périodicité de remplacement des lampes (années)</t>
  </si>
  <si>
    <t>Prix total</t>
  </si>
  <si>
    <t>Nombre d'heures de fonctionnement</t>
  </si>
  <si>
    <t>3 kVA maître</t>
  </si>
  <si>
    <t>6 kVA maître</t>
  </si>
  <si>
    <t>6 kVA Esclave</t>
  </si>
  <si>
    <t>Puissances</t>
  </si>
  <si>
    <t>VRI</t>
  </si>
  <si>
    <t>VR</t>
  </si>
  <si>
    <t>Maître 6 kVA</t>
  </si>
  <si>
    <t>Esclave 6 kVA</t>
  </si>
  <si>
    <t>Maître 3 kVA</t>
  </si>
  <si>
    <t>Lubio VRI</t>
  </si>
  <si>
    <t>P Apparente totale sous 230 V (VA)</t>
  </si>
  <si>
    <t>P Active totale sous 230 V (W)</t>
  </si>
  <si>
    <t>Lubio / Bilan annuel</t>
  </si>
  <si>
    <t>Main d'œuvre pour le remplacement d'une lampe</t>
  </si>
  <si>
    <t>Puissance en nominale en kW</t>
  </si>
  <si>
    <t>Puissance en economie en kW</t>
  </si>
  <si>
    <t>Simulation du fichier :</t>
  </si>
  <si>
    <t>Date fichier :</t>
  </si>
  <si>
    <t>Date début simulation :</t>
  </si>
  <si>
    <t>Date fin simulation :</t>
  </si>
  <si>
    <t>Identification :</t>
  </si>
  <si>
    <t>Lieu :</t>
  </si>
  <si>
    <t>Mise en</t>
  </si>
  <si>
    <t>Passage à</t>
  </si>
  <si>
    <t>Date</t>
  </si>
  <si>
    <t>marche E.P.</t>
  </si>
  <si>
    <t>tension d'économie</t>
  </si>
  <si>
    <t>Coupure E.P.</t>
  </si>
  <si>
    <t>Nom du cycle</t>
  </si>
  <si>
    <t>Cohérence</t>
  </si>
  <si>
    <t>Hres nominale</t>
  </si>
  <si>
    <t>heures éco</t>
  </si>
  <si>
    <t>Heures de fonct</t>
  </si>
  <si>
    <t>Hres en nom</t>
  </si>
  <si>
    <t>hres en economie</t>
  </si>
  <si>
    <t>Simulation!L385</t>
  </si>
  <si>
    <t>Puissance à la tension réseau en kW</t>
  </si>
  <si>
    <t>Energie ss Lubio</t>
  </si>
  <si>
    <t>Energie avec Lubio</t>
  </si>
  <si>
    <t>Economie</t>
  </si>
  <si>
    <t>Economie d'une campagne de remplacement tous les</t>
  </si>
  <si>
    <t>Nom du site</t>
  </si>
  <si>
    <t xml:space="preserve">Ville </t>
  </si>
  <si>
    <t>Prix de vente</t>
  </si>
  <si>
    <t>Janvier</t>
  </si>
  <si>
    <t>Février</t>
  </si>
  <si>
    <t>Mars</t>
  </si>
  <si>
    <t xml:space="preserve">Avril 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</si>
  <si>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</si>
  <si>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</si>
  <si>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</si>
  <si>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</si>
  <si>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</si>
  <si>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</si>
  <si>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</si>
  <si>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</si>
  <si>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Conso sans Lubio</t>
  </si>
  <si>
    <t>Conso avec Lubio</t>
  </si>
  <si>
    <t xml:space="preserve">Economie </t>
  </si>
  <si>
    <t>Consommation avec Lubio en kWh</t>
  </si>
  <si>
    <t>Energie moyenne consommée</t>
  </si>
  <si>
    <t xml:space="preserve">Tension nominale </t>
  </si>
  <si>
    <t>Tension économie</t>
  </si>
  <si>
    <t>Hypothèses</t>
  </si>
  <si>
    <t>Début zone économie</t>
  </si>
  <si>
    <t>Fin zone économie</t>
  </si>
  <si>
    <t>à la tension d'économie</t>
  </si>
  <si>
    <t>1 année</t>
  </si>
  <si>
    <t>Indice de révision</t>
  </si>
  <si>
    <t>Description de la modification</t>
  </si>
  <si>
    <t>Feuilles concernées</t>
  </si>
  <si>
    <t>Rédacteur</t>
  </si>
  <si>
    <t>B</t>
  </si>
  <si>
    <t>Lubio</t>
  </si>
  <si>
    <t>Prise en compte des quantités dans la formule de calcul des prix</t>
  </si>
  <si>
    <t>JP FRETTI</t>
  </si>
  <si>
    <t>C</t>
  </si>
  <si>
    <t>Détail du prix du kWh</t>
  </si>
  <si>
    <t>D</t>
  </si>
  <si>
    <t>Correction bug nombre d'heures de fonctionnement</t>
  </si>
  <si>
    <t>Page de garde</t>
  </si>
  <si>
    <t>Nombre de points lumineux (lampes)</t>
  </si>
  <si>
    <t>Economie d'émission de CO² (109 g/kWh).</t>
  </si>
  <si>
    <t>tension nominale</t>
  </si>
  <si>
    <t>Hiver-1</t>
  </si>
  <si>
    <t>Simulation!L14</t>
  </si>
  <si>
    <t>E</t>
  </si>
  <si>
    <t>Vapeur de Sodium Haute Pression</t>
  </si>
  <si>
    <t>Ballon Fluorescent</t>
  </si>
  <si>
    <t>Prix</t>
  </si>
  <si>
    <t>Puissances en kVA</t>
  </si>
  <si>
    <t>Type</t>
  </si>
  <si>
    <t>MODULES</t>
  </si>
  <si>
    <t>Qtés</t>
  </si>
  <si>
    <t>Prix VRI</t>
  </si>
  <si>
    <t>Prix VR</t>
  </si>
  <si>
    <t>Prix unitaire</t>
  </si>
  <si>
    <t>Lubio  VRI/VR</t>
  </si>
  <si>
    <t>Saison 1</t>
  </si>
  <si>
    <t>F</t>
  </si>
  <si>
    <t>Complément info dans page de garde</t>
  </si>
  <si>
    <t xml:space="preserve">correction bug nombre d'heures économie </t>
  </si>
  <si>
    <t>page simulation</t>
  </si>
  <si>
    <t xml:space="preserve">test debut cycle </t>
  </si>
  <si>
    <t>test fin de cycle</t>
  </si>
  <si>
    <t>Test 0H00</t>
  </si>
  <si>
    <t>a</t>
  </si>
  <si>
    <t>b</t>
  </si>
  <si>
    <t>c</t>
  </si>
  <si>
    <t>&lt;NC&gt;</t>
  </si>
  <si>
    <t>Nom lubio : &lt;NC&gt;</t>
  </si>
  <si>
    <t>25,00</t>
  </si>
  <si>
    <t>12,00</t>
  </si>
  <si>
    <t>22/05/2007</t>
  </si>
  <si>
    <t>22/05/2008</t>
  </si>
  <si>
    <t>Commune :</t>
  </si>
  <si>
    <t>Du 22/05 au  23/05/2007</t>
  </si>
  <si>
    <t>Du 23/05 au  24/05/2007</t>
  </si>
  <si>
    <t>Du 24/05 au  25/05/2007</t>
  </si>
  <si>
    <t>Du 25/05 au  26/05/2007</t>
  </si>
  <si>
    <t>Du 26/05 au  27/05/2007</t>
  </si>
  <si>
    <t>WE/Saison 1</t>
  </si>
  <si>
    <t>Du 27/05 au  28/05/2007</t>
  </si>
  <si>
    <t>Du 28/05 au  29/05/2007</t>
  </si>
  <si>
    <t>Du 29/05 au  30/05/2007</t>
  </si>
  <si>
    <t>Du 30/05 au  31/05/2007</t>
  </si>
  <si>
    <t>Du 31/05 au  01/06/2007</t>
  </si>
  <si>
    <t>Du 01/06 au  02/06/2007</t>
  </si>
  <si>
    <t>Du 02/06 au  03/06/2007</t>
  </si>
  <si>
    <t>Du 03/06 au  04/06/2007</t>
  </si>
  <si>
    <t>Du 04/06 au  05/06/2007</t>
  </si>
  <si>
    <t>Du 05/06 au  06/06/2007</t>
  </si>
  <si>
    <t>Du 06/06 au  07/06/2007</t>
  </si>
  <si>
    <t>Du 07/06 au  08/06/2007</t>
  </si>
  <si>
    <t>Du 08/06 au  09/06/2007</t>
  </si>
  <si>
    <t>Du 09/06 au  10/06/2007</t>
  </si>
  <si>
    <t>Du 10/06 au  11/06/2007</t>
  </si>
  <si>
    <t>Du 11/06 au  12/06/2007</t>
  </si>
  <si>
    <t>Du 12/06 au  13/06/2007</t>
  </si>
  <si>
    <t>Du 13/06 au  14/06/2007</t>
  </si>
  <si>
    <t>Du 14/06 au  15/06/2007</t>
  </si>
  <si>
    <t>Du 15/06 au  16/06/2007</t>
  </si>
  <si>
    <t>Du 16/06 au  17/06/2007</t>
  </si>
  <si>
    <t>Du 17/06 au  18/06/2007</t>
  </si>
  <si>
    <t>Du 18/06 au  19/06/2007</t>
  </si>
  <si>
    <t>Du 19/06 au  20/06/2007</t>
  </si>
  <si>
    <t>Du 20/06 au  21/06/2007</t>
  </si>
  <si>
    <t>Du 21/06 au  22/06/2007</t>
  </si>
  <si>
    <t>Du 22/06 au  23/06/2007</t>
  </si>
  <si>
    <t>Du 23/06 au  24/06/2007</t>
  </si>
  <si>
    <t>Du 24/06 au  25/06/2007</t>
  </si>
  <si>
    <t>Du 25/06 au  26/06/2007</t>
  </si>
  <si>
    <t>Du 26/06 au  27/06/2007</t>
  </si>
  <si>
    <t>Du 27/06 au  28/06/2007</t>
  </si>
  <si>
    <t>Du 28/06 au  29/06/2007</t>
  </si>
  <si>
    <t>Du 29/06 au  30/06/2007</t>
  </si>
  <si>
    <t>Du 30/06 au  01/07/2007</t>
  </si>
  <si>
    <t>Du 01/07 au  02/07/2007</t>
  </si>
  <si>
    <t>Du 02/07 au  03/07/2007</t>
  </si>
  <si>
    <t>Du 03/07 au  04/07/2007</t>
  </si>
  <si>
    <t>Du 04/07 au  05/07/2007</t>
  </si>
  <si>
    <t>Du 05/07 au  06/07/2007</t>
  </si>
  <si>
    <t>Du 06/07 au  07/07/2007</t>
  </si>
  <si>
    <t>Du 07/07 au  08/07/2007</t>
  </si>
  <si>
    <t>Du 08/07 au  09/07/2007</t>
  </si>
  <si>
    <t>Du 09/07 au  10/07/2007</t>
  </si>
  <si>
    <t>Du 10/07 au  11/07/2007</t>
  </si>
  <si>
    <t>Du 11/07 au  12/07/2007</t>
  </si>
  <si>
    <t>Du 12/07 au  13/07/2007</t>
  </si>
  <si>
    <t>Du 13/07 au  14/07/2007</t>
  </si>
  <si>
    <t>Du 14/07 au  15/07/2007</t>
  </si>
  <si>
    <t>Du 15/07 au  16/07/2007</t>
  </si>
  <si>
    <t>Du 16/07 au  17/07/2007</t>
  </si>
  <si>
    <t>Du 17/07 au  18/07/2007</t>
  </si>
  <si>
    <t>Du 18/07 au  19/07/2007</t>
  </si>
  <si>
    <t>Du 19/07 au  20/07/2007</t>
  </si>
  <si>
    <t>Du 20/07 au  21/07/2007</t>
  </si>
  <si>
    <t>Du 21/07 au  22/07/2007</t>
  </si>
  <si>
    <t>Du 22/07 au  23/07/2007</t>
  </si>
  <si>
    <t>Du 23/07 au  24/07/2007</t>
  </si>
  <si>
    <t>Du 24/07 au  25/07/2007</t>
  </si>
  <si>
    <t>Du 25/07 au  26/07/2007</t>
  </si>
  <si>
    <t>Du 26/07 au  27/07/2007</t>
  </si>
  <si>
    <t>Du 27/07 au  28/07/2007</t>
  </si>
  <si>
    <t>Du 28/07 au  29/07/2007</t>
  </si>
  <si>
    <t>Du 29/07 au  30/07/2007</t>
  </si>
  <si>
    <t>Du 30/07 au  31/07/2007</t>
  </si>
  <si>
    <t>Du 31/07 au  01/08/2007</t>
  </si>
  <si>
    <t>Du 01/08 au  02/08/2007</t>
  </si>
  <si>
    <t>Du 02/08 au  03/08/2007</t>
  </si>
  <si>
    <t>Du 03/08 au  04/08/2007</t>
  </si>
  <si>
    <t>Du 04/08 au  05/08/2007</t>
  </si>
  <si>
    <t>Du 05/08 au  06/08/2007</t>
  </si>
  <si>
    <t>Du 06/08 au  07/08/2007</t>
  </si>
  <si>
    <t>Du 07/08 au  08/08/2007</t>
  </si>
  <si>
    <t>Du 08/08 au  09/08/2007</t>
  </si>
  <si>
    <t>Du 09/08 au  10/08/2007</t>
  </si>
  <si>
    <t>Du 10/08 au  11/08/2007</t>
  </si>
  <si>
    <t>Du 11/08 au  12/08/2007</t>
  </si>
  <si>
    <t>Du 12/08 au  13/08/2007</t>
  </si>
  <si>
    <t>Du 13/08 au  14/08/2007</t>
  </si>
  <si>
    <t>Du 14/08 au  15/08/2007</t>
  </si>
  <si>
    <t>Du 15/08 au  16/08/2007</t>
  </si>
  <si>
    <t>Du 16/08 au  17/08/2007</t>
  </si>
  <si>
    <t>Du 17/08 au  18/08/2007</t>
  </si>
  <si>
    <t>Du 18/08 au  19/08/2007</t>
  </si>
  <si>
    <t>Du 19/08 au  20/08/2007</t>
  </si>
  <si>
    <t>Du 20/08 au  21/08/2007</t>
  </si>
  <si>
    <t>Du 21/08 au  22/08/2007</t>
  </si>
  <si>
    <t>Du 22/08 au  23/08/2007</t>
  </si>
  <si>
    <t>Du 23/08 au  24/08/2007</t>
  </si>
  <si>
    <t>Du 24/08 au  25/08/2007</t>
  </si>
  <si>
    <t>Du 25/08 au  26/08/2007</t>
  </si>
  <si>
    <t>Du 26/08 au  27/08/2007</t>
  </si>
  <si>
    <t>Du 27/08 au  28/08/2007</t>
  </si>
  <si>
    <t>Du 28/08 au  29/08/2007</t>
  </si>
  <si>
    <t>Du 29/08 au  30/08/2007</t>
  </si>
  <si>
    <t>Du 30/08 au  31/08/2007</t>
  </si>
  <si>
    <t>Du 31/08 au  01/09/2007</t>
  </si>
  <si>
    <t>Du 01/09 au  02/09/2007</t>
  </si>
  <si>
    <t>Du 02/09 au  03/09/2007</t>
  </si>
  <si>
    <t>Du 03/09 au  04/09/2007</t>
  </si>
  <si>
    <t>Du 04/09 au  05/09/2007</t>
  </si>
  <si>
    <t>Du 05/09 au  06/09/2007</t>
  </si>
  <si>
    <t>Du 06/09 au  07/09/2007</t>
  </si>
  <si>
    <t>Du 07/09 au  08/09/2007</t>
  </si>
  <si>
    <t>Du 08/09 au  09/09/2007</t>
  </si>
  <si>
    <t>Du 09/09 au  10/09/2007</t>
  </si>
  <si>
    <t>Du 10/09 au  11/09/2007</t>
  </si>
  <si>
    <t>Du 11/09 au  12/09/2007</t>
  </si>
  <si>
    <t>Du 12/09 au  13/09/2007</t>
  </si>
  <si>
    <t>Du 13/09 au  14/09/2007</t>
  </si>
  <si>
    <t>Du 14/09 au  15/09/2007</t>
  </si>
  <si>
    <t>Du 15/09 au  16/09/2007</t>
  </si>
  <si>
    <t>Du 16/09 au  17/09/2007</t>
  </si>
  <si>
    <t>Du 17/09 au  18/09/2007</t>
  </si>
  <si>
    <t>Du 18/09 au  19/09/2007</t>
  </si>
  <si>
    <t>Du 19/09 au  20/09/2007</t>
  </si>
  <si>
    <t>Du 20/09 au  21/09/2007</t>
  </si>
  <si>
    <t>Du 21/09 au  22/09/2007</t>
  </si>
  <si>
    <t>Du 22/09 au  23/09/2007</t>
  </si>
  <si>
    <t>Du 23/09 au  24/09/2007</t>
  </si>
  <si>
    <t>Du 24/09 au  25/09/2007</t>
  </si>
  <si>
    <t>Du 25/09 au  26/09/2007</t>
  </si>
  <si>
    <t>Du 26/09 au  27/09/2007</t>
  </si>
  <si>
    <t>Du 27/09 au  28/09/2007</t>
  </si>
  <si>
    <t>Du 28/09 au  29/09/2007</t>
  </si>
  <si>
    <t>Du 29/09 au  30/09/2007</t>
  </si>
  <si>
    <t>Du 30/09 au  01/10/2007</t>
  </si>
  <si>
    <t>Du 01/10 au  02/10/2007</t>
  </si>
  <si>
    <t>Du 02/10 au  03/10/2007</t>
  </si>
  <si>
    <t>Du 03/10 au  04/10/2007</t>
  </si>
  <si>
    <t>Du 04/10 au  05/10/2007</t>
  </si>
  <si>
    <t>Du 05/10 au  06/10/2007</t>
  </si>
  <si>
    <t>Du 06/10 au  07/10/2007</t>
  </si>
  <si>
    <t>Du 07/10 au  08/10/2007</t>
  </si>
  <si>
    <t>Du 08/10 au  09/10/2007</t>
  </si>
  <si>
    <t>Du 09/10 au  10/10/2007</t>
  </si>
  <si>
    <t>Du 10/10 au  11/10/2007</t>
  </si>
  <si>
    <t>Du 11/10 au  12/10/2007</t>
  </si>
  <si>
    <t>Du 12/10 au  13/10/2007</t>
  </si>
  <si>
    <t>Du 13/10 au  14/10/2007</t>
  </si>
  <si>
    <t>Du 14/10 au  15/10/2007</t>
  </si>
  <si>
    <t>Du 15/10 au  16/10/2007</t>
  </si>
  <si>
    <t>Du 16/10 au  17/10/2007</t>
  </si>
  <si>
    <t>Du 17/10 au  18/10/2007</t>
  </si>
  <si>
    <t>Du 18/10 au  19/10/2007</t>
  </si>
  <si>
    <t>Du 19/10 au  20/10/2007</t>
  </si>
  <si>
    <t>Du 20/10 au  21/10/2007</t>
  </si>
  <si>
    <t>Du 21/10 au  22/10/2007</t>
  </si>
  <si>
    <t>Du 22/10 au  23/10/2007</t>
  </si>
  <si>
    <t>Du 23/10 au  24/10/2007</t>
  </si>
  <si>
    <t>Du 24/10 au  25/10/2007</t>
  </si>
  <si>
    <t>Du 25/10 au  26/10/2007</t>
  </si>
  <si>
    <t>Du 26/10 au  27/10/2007</t>
  </si>
  <si>
    <t>Du 27/10 au  28/10/2007</t>
  </si>
  <si>
    <t>Du 28/10 au  28/10/2007</t>
  </si>
  <si>
    <t>Du 29/10 au  30/10/2007</t>
  </si>
  <si>
    <t>Du 30/10 au  31/10/2007</t>
  </si>
  <si>
    <t>Du 31/10 au  01/11/2007</t>
  </si>
  <si>
    <t>Du 01/11 au  02/11/2007</t>
  </si>
  <si>
    <t>Du 02/11 au  03/11/2007</t>
  </si>
  <si>
    <t>Du 03/11 au  04/11/2007</t>
  </si>
  <si>
    <t>Du 04/11 au  05/11/2007</t>
  </si>
  <si>
    <t>Du 05/11 au  06/11/2007</t>
  </si>
  <si>
    <t>Du 06/11 au  07/11/2007</t>
  </si>
  <si>
    <t>Du 07/11 au  08/11/2007</t>
  </si>
  <si>
    <t>Du 08/11 au  09/11/2007</t>
  </si>
  <si>
    <t>Du 09/11 au  10/11/2007</t>
  </si>
  <si>
    <t>Du 10/11 au  11/11/2007</t>
  </si>
  <si>
    <t>Du 11/11 au  12/11/2007</t>
  </si>
  <si>
    <t>Du 12/11 au  13/11/2007</t>
  </si>
  <si>
    <t>Du 13/11 au  14/11/2007</t>
  </si>
  <si>
    <t>Du 14/11 au  15/11/2007</t>
  </si>
  <si>
    <t>Du 15/11 au  16/11/2007</t>
  </si>
  <si>
    <t>Du 16/11 au  17/11/2007</t>
  </si>
  <si>
    <t>Du 17/11 au  18/11/2007</t>
  </si>
  <si>
    <t>Du 18/11 au  19/11/2007</t>
  </si>
  <si>
    <t>Du 19/11 au  20/11/2007</t>
  </si>
  <si>
    <t>Du 20/11 au  21/11/2007</t>
  </si>
  <si>
    <t>Du 21/11 au  22/11/2007</t>
  </si>
  <si>
    <t>Du 22/11 au  23/11/2007</t>
  </si>
  <si>
    <t>Du 23/11 au  24/11/2007</t>
  </si>
  <si>
    <t>Du 24/11 au  25/11/2007</t>
  </si>
  <si>
    <t>Du 25/11 au  26/11/2007</t>
  </si>
  <si>
    <t>Du 26/11 au  27/11/2007</t>
  </si>
  <si>
    <t>Du 27/11 au  28/11/2007</t>
  </si>
  <si>
    <t>Du 28/11 au  29/11/2007</t>
  </si>
  <si>
    <t>Du 29/11 au  30/11/2007</t>
  </si>
  <si>
    <t>Du 30/11 au  01/12/2007</t>
  </si>
  <si>
    <t>Du 01/12 au  02/12/2007</t>
  </si>
  <si>
    <t>Du 02/12 au  03/12/2007</t>
  </si>
  <si>
    <t>Du 03/12 au  04/12/2007</t>
  </si>
  <si>
    <t>Du 04/12 au  05/12/2007</t>
  </si>
  <si>
    <t>Du 05/12 au  06/12/2007</t>
  </si>
  <si>
    <t>Du 06/12 au  07/12/2007</t>
  </si>
  <si>
    <t>Du 07/12 au  08/12/2007</t>
  </si>
  <si>
    <t>Du 08/12 au  09/12/2007</t>
  </si>
  <si>
    <t>Du 09/12 au  10/12/2007</t>
  </si>
  <si>
    <t>Du 10/12 au  11/12/2007</t>
  </si>
  <si>
    <t>Du 11/12 au  12/12/2007</t>
  </si>
  <si>
    <t>Du 12/12 au  13/12/2007</t>
  </si>
  <si>
    <t>Du 13/12 au  14/12/2007</t>
  </si>
  <si>
    <t>Du 14/12 au  15/12/2007</t>
  </si>
  <si>
    <t>Du 15/12 au  16/12/2007</t>
  </si>
  <si>
    <t>Du 16/12 au  17/12/2007</t>
  </si>
  <si>
    <t>Du 17/12 au  18/12/2007</t>
  </si>
  <si>
    <t>Du 18/12 au  19/12/2007</t>
  </si>
  <si>
    <t>Du 19/12 au  20/12/2007</t>
  </si>
  <si>
    <t>Du 20/12 au  21/12/2007</t>
  </si>
  <si>
    <t>Du 21/12 au  22/12/2007</t>
  </si>
  <si>
    <t>Du 22/12 au  23/12/2007</t>
  </si>
  <si>
    <t>Du 23/12 au  24/12/2007</t>
  </si>
  <si>
    <t>Du 24/12 au  25/12/2007</t>
  </si>
  <si>
    <t>Du 25/12 au  26/12/2007</t>
  </si>
  <si>
    <t>Du 26/12 au  27/12/2007</t>
  </si>
  <si>
    <t>Du 27/12 au  28/12/2007</t>
  </si>
  <si>
    <t>Du 28/12 au  29/12/2007</t>
  </si>
  <si>
    <t>Du 29/12 au  30/12/2007</t>
  </si>
  <si>
    <t>Du 30/12 au  31/12/2007</t>
  </si>
  <si>
    <t>Du 31/12 au  01/01/2008</t>
  </si>
  <si>
    <t>Du 01/01 au  02/01/2008</t>
  </si>
  <si>
    <t>Du 02/01 au  03/01/2008</t>
  </si>
  <si>
    <t>Du 03/01 au  04/01/2008</t>
  </si>
  <si>
    <t>Du 04/01 au  05/01/2008</t>
  </si>
  <si>
    <t>Du 05/01 au  06/01/2008</t>
  </si>
  <si>
    <t>Du 06/01 au  07/01/2008</t>
  </si>
  <si>
    <t>Du 07/01 au  08/01/2008</t>
  </si>
  <si>
    <t>Du 08/01 au  09/01/2008</t>
  </si>
  <si>
    <t>Du 09/01 au  10/01/2008</t>
  </si>
  <si>
    <t>Du 10/01 au  11/01/2008</t>
  </si>
  <si>
    <t>Du 11/01 au  12/01/2008</t>
  </si>
  <si>
    <t>Du 12/01 au  13/01/2008</t>
  </si>
  <si>
    <t>Du 13/01 au  14/01/2008</t>
  </si>
  <si>
    <t>Du 14/01 au  15/01/2008</t>
  </si>
  <si>
    <t>Du 15/01 au  16/01/2008</t>
  </si>
  <si>
    <t>Du 16/01 au  17/01/2008</t>
  </si>
  <si>
    <t>Du 17/01 au  18/01/2008</t>
  </si>
  <si>
    <t>Du 18/01 au  19/01/2008</t>
  </si>
  <si>
    <t>Du 19/01 au  20/01/2008</t>
  </si>
  <si>
    <t>Du 20/01 au  21/01/2008</t>
  </si>
  <si>
    <t>Du 21/01 au  22/01/2008</t>
  </si>
  <si>
    <t>Du 22/01 au  23/01/2008</t>
  </si>
  <si>
    <t>Du 23/01 au  24/01/2008</t>
  </si>
  <si>
    <t>Du 24/01 au  25/01/2008</t>
  </si>
  <si>
    <t>Du 25/01 au  26/01/2008</t>
  </si>
  <si>
    <t>Du 26/01 au  27/01/2008</t>
  </si>
  <si>
    <t>Du 27/01 au  28/01/2008</t>
  </si>
  <si>
    <t>Du 28/01 au  29/01/2008</t>
  </si>
  <si>
    <t>Du 29/01 au  30/01/2008</t>
  </si>
  <si>
    <t>Du 30/01 au  31/01/2008</t>
  </si>
  <si>
    <t>Du 31/01 au  01/02/2008</t>
  </si>
  <si>
    <t>Du 01/02 au  02/02/2008</t>
  </si>
  <si>
    <t>Du 02/02 au  03/02/2008</t>
  </si>
  <si>
    <t>Du 03/02 au  04/02/2008</t>
  </si>
  <si>
    <t>Du 04/02 au  05/02/2008</t>
  </si>
  <si>
    <t>Du 05/02 au  06/02/2008</t>
  </si>
  <si>
    <t>Du 06/02 au  07/02/2008</t>
  </si>
  <si>
    <t>Du 07/02 au  08/02/2008</t>
  </si>
  <si>
    <t>Du 08/02 au  09/02/2008</t>
  </si>
  <si>
    <t>Du 09/02 au  10/02/2008</t>
  </si>
  <si>
    <t>Du 10/02 au  11/02/2008</t>
  </si>
  <si>
    <t>Du 11/02 au  12/02/2008</t>
  </si>
  <si>
    <t>Du 12/02 au  13/02/2008</t>
  </si>
  <si>
    <t>Du 13/02 au  14/02/2008</t>
  </si>
  <si>
    <t>Du 14/02 au  15/02/2008</t>
  </si>
  <si>
    <t>Du 15/02 au  16/02/2008</t>
  </si>
  <si>
    <t>Du 16/02 au  17/02/2008</t>
  </si>
  <si>
    <t>Du 17/02 au  18/02/2008</t>
  </si>
  <si>
    <t>Du 18/02 au  19/02/2008</t>
  </si>
  <si>
    <t>Du 19/02 au  20/02/2008</t>
  </si>
  <si>
    <t>Du 20/02 au  21/02/2008</t>
  </si>
  <si>
    <t>Du 21/02 au  22/02/2008</t>
  </si>
  <si>
    <t>Du 22/02 au  23/02/2008</t>
  </si>
  <si>
    <t>Du 23/02 au  24/02/2008</t>
  </si>
  <si>
    <t>Du 24/02 au  25/02/2008</t>
  </si>
  <si>
    <t>Du 25/02 au  26/02/2008</t>
  </si>
  <si>
    <t>Du 26/02 au  27/02/2008</t>
  </si>
  <si>
    <t>Du 27/02 au  28/02/2008</t>
  </si>
  <si>
    <t>Du 28/02 au  29/02/2008</t>
  </si>
  <si>
    <t>Du  au  01/03/2008</t>
  </si>
  <si>
    <t>Du 01/03 au  02/03/2008</t>
  </si>
  <si>
    <t>Du 02/03 au  03/03/2008</t>
  </si>
  <si>
    <t>Du 03/03 au  04/03/2008</t>
  </si>
  <si>
    <t>Du 04/03 au  05/03/2008</t>
  </si>
  <si>
    <t>Du 05/03 au  06/03/2008</t>
  </si>
  <si>
    <t>Du 06/03 au  07/03/2008</t>
  </si>
  <si>
    <t>Du 07/03 au  08/03/2008</t>
  </si>
  <si>
    <t>Du 08/03 au  09/03/2008</t>
  </si>
  <si>
    <t>Du 09/03 au  10/03/2008</t>
  </si>
  <si>
    <t>Du 10/03 au  11/03/2008</t>
  </si>
  <si>
    <t>Du 11/03 au  12/03/2008</t>
  </si>
  <si>
    <t>Du 12/03 au  13/03/2008</t>
  </si>
  <si>
    <t>Du 13/03 au  14/03/2008</t>
  </si>
  <si>
    <t>Du 14/03 au  15/03/2008</t>
  </si>
  <si>
    <t>Du 15/03 au  16/03/2008</t>
  </si>
  <si>
    <t>Du 16/03 au  17/03/2008</t>
  </si>
  <si>
    <t>Du 17/03 au  18/03/2008</t>
  </si>
  <si>
    <t>Du 18/03 au  19/03/2008</t>
  </si>
  <si>
    <t>Du 19/03 au  20/03/2008</t>
  </si>
  <si>
    <t>Du 20/03 au  21/03/2008</t>
  </si>
  <si>
    <t>Du 21/03 au  22/03/2008</t>
  </si>
  <si>
    <t>Du 22/03 au  23/03/2008</t>
  </si>
  <si>
    <t>Du 23/03 au  24/03/2008</t>
  </si>
  <si>
    <t>Du 24/03 au  25/03/2008</t>
  </si>
  <si>
    <t>Du 25/03 au  26/03/2008</t>
  </si>
  <si>
    <t>Du 26/03 au  27/03/2008</t>
  </si>
  <si>
    <t>Du 27/03 au  28/03/2008</t>
  </si>
  <si>
    <t>Du 28/03 au  29/03/2008</t>
  </si>
  <si>
    <t>Du 29/03 au  30/03/2008</t>
  </si>
  <si>
    <t>Du 30/03 au  31/03/2008</t>
  </si>
  <si>
    <t>Du 31/03 au  01/04/2008</t>
  </si>
  <si>
    <t>Du 01/04 au  02/04/2008</t>
  </si>
  <si>
    <t>Du 02/04 au  03/04/2008</t>
  </si>
  <si>
    <t>Du 03/04 au  04/04/2008</t>
  </si>
  <si>
    <t>Du 04/04 au  05/04/2008</t>
  </si>
  <si>
    <t>Du 05/04 au  06/04/2008</t>
  </si>
  <si>
    <t>Du 06/04 au  07/04/2008</t>
  </si>
  <si>
    <t>Du 07/04 au  08/04/2008</t>
  </si>
  <si>
    <t>Du 08/04 au  09/04/2008</t>
  </si>
  <si>
    <t>Du 09/04 au  10/04/2008</t>
  </si>
  <si>
    <t>Du 10/04 au  11/04/2008</t>
  </si>
  <si>
    <t>Du 11/04 au  12/04/2008</t>
  </si>
  <si>
    <t>Du 12/04 au  13/04/2008</t>
  </si>
  <si>
    <t>Du 13/04 au  14/04/2008</t>
  </si>
  <si>
    <t>Du 14/04 au  15/04/2008</t>
  </si>
  <si>
    <t>Du 15/04 au  16/04/2008</t>
  </si>
  <si>
    <t>Du 16/04 au  17/04/2008</t>
  </si>
  <si>
    <t>Du 17/04 au  18/04/2008</t>
  </si>
  <si>
    <t>Du 18/04 au  19/04/2008</t>
  </si>
  <si>
    <t>Du 19/04 au  20/04/2008</t>
  </si>
  <si>
    <t>Du 20/04 au  21/04/2008</t>
  </si>
  <si>
    <t>Du 21/04 au  22/04/2008</t>
  </si>
  <si>
    <t>Du 22/04 au  23/04/2008</t>
  </si>
  <si>
    <t>Du 23/04 au  24/04/2008</t>
  </si>
  <si>
    <t>Du 24/04 au  25/04/2008</t>
  </si>
  <si>
    <t>Du 25/04 au  26/04/2008</t>
  </si>
  <si>
    <t>Du 26/04 au  27/04/2008</t>
  </si>
  <si>
    <t>Du 27/04 au  28/04/2008</t>
  </si>
  <si>
    <t>Du 28/04 au  29/04/2008</t>
  </si>
  <si>
    <t>Du 29/04 au  30/04/2008</t>
  </si>
  <si>
    <t>Du 30/04 au  01/05/2008</t>
  </si>
  <si>
    <t>Du 01/05 au  02/05/2008</t>
  </si>
  <si>
    <t>Du 02/05 au  03/05/2008</t>
  </si>
  <si>
    <t>Du 03/05 au  04/05/2008</t>
  </si>
  <si>
    <t>Du 04/05 au  05/05/2008</t>
  </si>
  <si>
    <t>Du 05/05 au  06/05/2008</t>
  </si>
  <si>
    <t>Du 06/05 au  07/05/2008</t>
  </si>
  <si>
    <t>Du 07/05 au  08/05/2008</t>
  </si>
  <si>
    <t>Du 08/05 au  09/05/2008</t>
  </si>
  <si>
    <t>Du 09/05 au  10/05/2008</t>
  </si>
  <si>
    <t>Du 10/05 au  11/05/2008</t>
  </si>
  <si>
    <t>Du 11/05 au  12/05/2008</t>
  </si>
  <si>
    <t>Du 12/05 au  13/05/2008</t>
  </si>
  <si>
    <t>Du 13/05 au  14/05/2008</t>
  </si>
  <si>
    <t>Du 14/05 au  15/05/2008</t>
  </si>
  <si>
    <t>Du 15/05 au  16/05/2008</t>
  </si>
  <si>
    <t>Du 16/05 au  17/05/2008</t>
  </si>
  <si>
    <t>Du 17/05 au  18/05/2008</t>
  </si>
  <si>
    <t>Du 18/05 au  19/05/2008</t>
  </si>
  <si>
    <t>Du 19/05 au  20/05/2008</t>
  </si>
  <si>
    <t>Du 20/05 au  21/05/2008</t>
  </si>
  <si>
    <t>Tarifs juillet 2007</t>
  </si>
  <si>
    <t>coefficient remise</t>
  </si>
  <si>
    <t>Augmentation par rapport à Juillet 2007</t>
  </si>
  <si>
    <t>1</t>
  </si>
  <si>
    <t>Saint Martin d'Heres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</si>
</sst>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\ &quot;€&quot;"/>
    <numFmt numFmtId="178" formatCode="#,##0.00\ &quot;€&quot;"/>
    <numFmt numFmtId="179" formatCode="#,##0.000\ &quot;€&quot;"/>
    <numFmt numFmtId="180" formatCode="#,##0.0000\ &quot;€&quot;"/>
    <numFmt numFmtId="181" formatCode="#,##0.0000"/>
    <numFmt numFmtId="182" formatCode="#,##0.0"/>
    <numFmt numFmtId="183" formatCode="#,##0.000"/>
    <numFmt numFmtId="184" formatCode="0.0000000"/>
    <numFmt numFmtId="185" formatCode="#,##0.0\ &quot;€&quot;"/>
    <numFmt numFmtId="186" formatCode="0.00000000"/>
    <numFmt numFmtId="187" formatCode="0.00000000000000"/>
    <numFmt numFmtId="188" formatCode="h:mm"/>
    <numFmt numFmtId="189" formatCode="h:mm:ss"/>
    <numFmt numFmtId="190" formatCode="h"/>
    <numFmt numFmtId="191" formatCode="0.00&quot;ans&quot;"/>
    <numFmt numFmtId="192" formatCode="0.00&quot; ans&quot;"/>
    <numFmt numFmtId="193" formatCode="d\-mmm"/>
    <numFmt numFmtId="194" formatCode="0.00,&quot; kWh&quot;"/>
    <numFmt numFmtId="195" formatCode="0.0&quot; kWh&quot;"/>
    <numFmt numFmtId="196" formatCode="0.0%"/>
    <numFmt numFmtId="197" formatCode="0&quot; kWh&quot;"/>
    <numFmt numFmtId="198" formatCode="#,#00&quot; kWh&quot;"/>
    <numFmt numFmtId="199" formatCode="#,##0&quot; V&quot;"/>
    <numFmt numFmtId="200" formatCode="#,#00&quot; H&quot;"/>
    <numFmt numFmtId="201" formatCode="[h]"/>
    <numFmt numFmtId="202" formatCode="[h]&quot; H&quot;"/>
    <numFmt numFmtId="203" formatCode="#,##0&quot; H&quot;"/>
  </numFmts>
  <fonts count="54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20"/>
      <name val="Comic Sans MS"/>
      <family val="4"/>
    </font>
    <font>
      <b/>
      <sz val="20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name val="Comic Sans MS"/>
      <family val="4"/>
    </font>
    <font>
      <sz val="12"/>
      <color indexed="8"/>
      <name val="Comic Sans MS"/>
      <family val="4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omic Sans MS"/>
      <family val="0"/>
    </font>
    <font>
      <sz val="10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33" borderId="23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 vertical="center"/>
    </xf>
    <xf numFmtId="182" fontId="4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2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7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1" fillId="33" borderId="13" xfId="0" applyNumberFormat="1" applyFont="1" applyFill="1" applyBorder="1" applyAlignment="1">
      <alignment horizontal="center"/>
    </xf>
    <xf numFmtId="177" fontId="1" fillId="33" borderId="1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178" fontId="2" fillId="33" borderId="27" xfId="0" applyNumberFormat="1" applyFont="1" applyFill="1" applyBorder="1" applyAlignment="1">
      <alignment horizontal="center"/>
    </xf>
    <xf numFmtId="178" fontId="2" fillId="33" borderId="28" xfId="0" applyNumberFormat="1" applyFont="1" applyFill="1" applyBorder="1" applyAlignment="1">
      <alignment horizontal="center"/>
    </xf>
    <xf numFmtId="178" fontId="2" fillId="33" borderId="2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8" fontId="2" fillId="33" borderId="12" xfId="0" applyNumberFormat="1" applyFont="1" applyFill="1" applyBorder="1" applyAlignment="1">
      <alignment horizontal="center"/>
    </xf>
    <xf numFmtId="177" fontId="1" fillId="33" borderId="12" xfId="0" applyNumberFormat="1" applyFont="1" applyFill="1" applyBorder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11" fillId="0" borderId="24" xfId="45" applyFont="1" applyBorder="1" applyAlignment="1" applyProtection="1">
      <alignment/>
      <protection/>
    </xf>
    <xf numFmtId="0" fontId="2" fillId="0" borderId="31" xfId="0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4" fontId="0" fillId="0" borderId="12" xfId="0" applyNumberForma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8" fontId="0" fillId="33" borderId="12" xfId="0" applyNumberFormat="1" applyFill="1" applyBorder="1" applyAlignment="1">
      <alignment horizontal="center"/>
    </xf>
    <xf numFmtId="0" fontId="11" fillId="0" borderId="0" xfId="45" applyFont="1" applyAlignment="1" applyProtection="1">
      <alignment/>
      <protection/>
    </xf>
    <xf numFmtId="177" fontId="2" fillId="33" borderId="14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89" fontId="0" fillId="0" borderId="0" xfId="0" applyNumberFormat="1" applyAlignment="1">
      <alignment/>
    </xf>
    <xf numFmtId="188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0" fillId="0" borderId="0" xfId="45" applyAlignment="1" applyProtection="1">
      <alignment/>
      <protection/>
    </xf>
    <xf numFmtId="18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3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33" borderId="1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/>
    </xf>
    <xf numFmtId="198" fontId="2" fillId="0" borderId="19" xfId="0" applyNumberFormat="1" applyFont="1" applyBorder="1" applyAlignment="1">
      <alignment horizontal="center"/>
    </xf>
    <xf numFmtId="198" fontId="2" fillId="0" borderId="16" xfId="0" applyNumberFormat="1" applyFont="1" applyBorder="1" applyAlignment="1">
      <alignment horizontal="center"/>
    </xf>
    <xf numFmtId="198" fontId="2" fillId="33" borderId="27" xfId="0" applyNumberFormat="1" applyFont="1" applyFill="1" applyBorder="1" applyAlignment="1">
      <alignment horizontal="center"/>
    </xf>
    <xf numFmtId="196" fontId="2" fillId="33" borderId="36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/>
    </xf>
    <xf numFmtId="198" fontId="2" fillId="0" borderId="21" xfId="0" applyNumberFormat="1" applyFont="1" applyBorder="1" applyAlignment="1">
      <alignment horizontal="center"/>
    </xf>
    <xf numFmtId="198" fontId="2" fillId="0" borderId="26" xfId="0" applyNumberFormat="1" applyFont="1" applyBorder="1" applyAlignment="1">
      <alignment horizontal="center"/>
    </xf>
    <xf numFmtId="198" fontId="2" fillId="33" borderId="28" xfId="0" applyNumberFormat="1" applyFont="1" applyFill="1" applyBorder="1" applyAlignment="1">
      <alignment horizontal="center"/>
    </xf>
    <xf numFmtId="196" fontId="2" fillId="33" borderId="38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/>
    </xf>
    <xf numFmtId="198" fontId="2" fillId="0" borderId="22" xfId="0" applyNumberFormat="1" applyFont="1" applyBorder="1" applyAlignment="1">
      <alignment horizontal="center"/>
    </xf>
    <xf numFmtId="198" fontId="2" fillId="0" borderId="14" xfId="0" applyNumberFormat="1" applyFont="1" applyBorder="1" applyAlignment="1">
      <alignment horizontal="center"/>
    </xf>
    <xf numFmtId="198" fontId="2" fillId="33" borderId="29" xfId="0" applyNumberFormat="1" applyFont="1" applyFill="1" applyBorder="1" applyAlignment="1">
      <alignment horizontal="center"/>
    </xf>
    <xf numFmtId="196" fontId="2" fillId="33" borderId="40" xfId="0" applyNumberFormat="1" applyFont="1" applyFill="1" applyBorder="1" applyAlignment="1">
      <alignment horizontal="center"/>
    </xf>
    <xf numFmtId="198" fontId="2" fillId="33" borderId="17" xfId="0" applyNumberFormat="1" applyFont="1" applyFill="1" applyBorder="1" applyAlignment="1">
      <alignment horizontal="center"/>
    </xf>
    <xf numFmtId="198" fontId="2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24" xfId="0" applyBorder="1" applyAlignment="1">
      <alignment/>
    </xf>
    <xf numFmtId="188" fontId="2" fillId="0" borderId="0" xfId="0" applyNumberFormat="1" applyFont="1" applyAlignment="1">
      <alignment horizontal="left"/>
    </xf>
    <xf numFmtId="199" fontId="2" fillId="0" borderId="0" xfId="0" applyNumberFormat="1" applyFont="1" applyAlignment="1">
      <alignment horizontal="left"/>
    </xf>
    <xf numFmtId="199" fontId="2" fillId="0" borderId="2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188" fontId="0" fillId="34" borderId="12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201" fontId="0" fillId="33" borderId="12" xfId="0" applyNumberFormat="1" applyFill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3" fontId="2" fillId="33" borderId="15" xfId="0" applyNumberFormat="1" applyFon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98" fontId="0" fillId="33" borderId="13" xfId="0" applyNumberFormat="1" applyFill="1" applyBorder="1" applyAlignment="1">
      <alignment horizontal="center"/>
    </xf>
    <xf numFmtId="198" fontId="0" fillId="33" borderId="41" xfId="0" applyNumberFormat="1" applyFill="1" applyBorder="1" applyAlignment="1">
      <alignment horizontal="center"/>
    </xf>
    <xf numFmtId="0" fontId="0" fillId="33" borderId="42" xfId="0" applyFill="1" applyBorder="1" applyAlignment="1">
      <alignment/>
    </xf>
    <xf numFmtId="203" fontId="0" fillId="0" borderId="0" xfId="0" applyNumberFormat="1" applyAlignment="1">
      <alignment horizontal="left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200" fontId="2" fillId="33" borderId="26" xfId="0" applyNumberFormat="1" applyFont="1" applyFill="1" applyBorder="1" applyAlignment="1">
      <alignment horizontal="center"/>
    </xf>
    <xf numFmtId="200" fontId="2" fillId="33" borderId="14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200" fontId="2" fillId="0" borderId="14" xfId="0" applyNumberFormat="1" applyFont="1" applyBorder="1" applyAlignment="1" applyProtection="1">
      <alignment horizontal="center"/>
      <protection locked="0"/>
    </xf>
    <xf numFmtId="180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0" borderId="26" xfId="0" applyNumberFormat="1" applyFont="1" applyBorder="1" applyAlignment="1" applyProtection="1">
      <alignment horizontal="center"/>
      <protection locked="0"/>
    </xf>
    <xf numFmtId="178" fontId="2" fillId="0" borderId="12" xfId="0" applyNumberFormat="1" applyFont="1" applyFill="1" applyBorder="1" applyAlignment="1" applyProtection="1">
      <alignment horizontal="center"/>
      <protection locked="0"/>
    </xf>
    <xf numFmtId="19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 horizontal="left"/>
      <protection locked="0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left"/>
    </xf>
    <xf numFmtId="0" fontId="1" fillId="33" borderId="4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33" borderId="4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178" fontId="2" fillId="0" borderId="12" xfId="0" applyNumberFormat="1" applyFont="1" applyBorder="1" applyAlignment="1" applyProtection="1">
      <alignment horizontal="center"/>
      <protection locked="0"/>
    </xf>
    <xf numFmtId="0" fontId="2" fillId="33" borderId="23" xfId="0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  <xf numFmtId="178" fontId="2" fillId="33" borderId="35" xfId="0" applyNumberFormat="1" applyFont="1" applyFill="1" applyBorder="1" applyAlignment="1">
      <alignment horizontal="center"/>
    </xf>
    <xf numFmtId="178" fontId="2" fillId="33" borderId="37" xfId="0" applyNumberFormat="1" applyFont="1" applyFill="1" applyBorder="1" applyAlignment="1">
      <alignment horizontal="center"/>
    </xf>
    <xf numFmtId="178" fontId="2" fillId="33" borderId="39" xfId="0" applyNumberFormat="1" applyFont="1" applyFill="1" applyBorder="1" applyAlignment="1">
      <alignment horizontal="center"/>
    </xf>
    <xf numFmtId="178" fontId="2" fillId="33" borderId="48" xfId="0" applyNumberFormat="1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NumberFormat="1" applyAlignment="1">
      <alignment/>
    </xf>
    <xf numFmtId="178" fontId="0" fillId="0" borderId="0" xfId="0" applyNumberForma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35" borderId="12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88" fontId="0" fillId="34" borderId="12" xfId="0" applyNumberFormat="1" applyFill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3" fontId="1" fillId="33" borderId="53" xfId="0" applyNumberFormat="1" applyFont="1" applyFill="1" applyBorder="1" applyAlignment="1">
      <alignment horizontal="center"/>
    </xf>
    <xf numFmtId="3" fontId="1" fillId="33" borderId="54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178" fontId="0" fillId="33" borderId="12" xfId="0" applyNumberForma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consommée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"/>
          <c:w val="0.830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v>situation avec Lubio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d''énergie'!$B$3:$B$14</c:f>
              <c:numCache>
                <c:ptCount val="12"/>
                <c:pt idx="0">
                  <c:v>449.77497263126656</c:v>
                </c:pt>
                <c:pt idx="1">
                  <c:v>450.52556920521954</c:v>
                </c:pt>
                <c:pt idx="2">
                  <c:v>451.11131505327427</c:v>
                </c:pt>
                <c:pt idx="3">
                  <c:v>450.26611636172396</c:v>
                </c:pt>
                <c:pt idx="4">
                  <c:v>450.33634070258023</c:v>
                </c:pt>
                <c:pt idx="5">
                  <c:v>450.00454544062086</c:v>
                </c:pt>
                <c:pt idx="6">
                  <c:v>450.1167732289186</c:v>
                </c:pt>
                <c:pt idx="7">
                  <c:v>451.13129230989387</c:v>
                </c:pt>
                <c:pt idx="8">
                  <c:v>450.4899187866343</c:v>
                </c:pt>
                <c:pt idx="9">
                  <c:v>449.7749726312666</c:v>
                </c:pt>
                <c:pt idx="10">
                  <c:v>452.87984978890694</c:v>
                </c:pt>
                <c:pt idx="11">
                  <c:v>454.8382835031068</c:v>
                </c:pt>
              </c:numCache>
            </c:numRef>
          </c:val>
        </c:ser>
        <c:ser>
          <c:idx val="1"/>
          <c:order val="1"/>
          <c:tx>
            <c:v>Situation sans Lubio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d''énergie'!$C$3:$C$14</c:f>
              <c:numCache>
                <c:ptCount val="12"/>
                <c:pt idx="0">
                  <c:v>609.4153226781516</c:v>
                </c:pt>
                <c:pt idx="1">
                  <c:v>610.6832143834237</c:v>
                </c:pt>
                <c:pt idx="2">
                  <c:v>611.7418750978787</c:v>
                </c:pt>
                <c:pt idx="3">
                  <c:v>610.2410345803971</c:v>
                </c:pt>
                <c:pt idx="4">
                  <c:v>610.0887097750336</c:v>
                </c:pt>
                <c:pt idx="5">
                  <c:v>610.6911667643774</c:v>
                </c:pt>
                <c:pt idx="6">
                  <c:v>609.9396667642571</c:v>
                </c:pt>
                <c:pt idx="7">
                  <c:v>611.3504688478162</c:v>
                </c:pt>
                <c:pt idx="8">
                  <c:v>610.8303334310663</c:v>
                </c:pt>
                <c:pt idx="9">
                  <c:v>609.4153226781516</c:v>
                </c:pt>
                <c:pt idx="10">
                  <c:v>613.6971667648583</c:v>
                </c:pt>
                <c:pt idx="11">
                  <c:v>618.0616129995299</c:v>
                </c:pt>
              </c:numCache>
            </c:numRef>
          </c:val>
        </c:ser>
        <c:axId val="20840241"/>
        <c:axId val="53344442"/>
      </c:bar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75"/>
          <c:y val="0.1755"/>
          <c:w val="0.144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Economie d'énergie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"/>
          <c:w val="0.979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d''énergie'!$E$3:$E$14</c:f>
              <c:numCache>
                <c:ptCount val="12"/>
                <c:pt idx="0">
                  <c:v>0.26195657395899663</c:v>
                </c:pt>
                <c:pt idx="1">
                  <c:v>0.2622597795485624</c:v>
                </c:pt>
                <c:pt idx="2">
                  <c:v>0.2625789840182243</c:v>
                </c:pt>
                <c:pt idx="3">
                  <c:v>0.2621503785445569</c:v>
                </c:pt>
                <c:pt idx="4">
                  <c:v>0.26185104971269024</c:v>
                </c:pt>
                <c:pt idx="5">
                  <c:v>0.2631225569793678</c:v>
                </c:pt>
                <c:pt idx="6">
                  <c:v>0.2620306601523432</c:v>
                </c:pt>
                <c:pt idx="7">
                  <c:v>0.2620741860881859</c:v>
                </c:pt>
                <c:pt idx="8">
                  <c:v>0.26249582882335165</c:v>
                </c:pt>
                <c:pt idx="9">
                  <c:v>0.2619565739589965</c:v>
                </c:pt>
                <c:pt idx="10">
                  <c:v>0.26204669939036795</c:v>
                </c:pt>
                <c:pt idx="11">
                  <c:v>0.2640890908986888</c:v>
                </c:pt>
              </c:numCache>
            </c:numRef>
          </c:val>
        </c:ser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Economie d'énergie journalière moyenne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65"/>
          <c:w val="0.979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d''énergie'!$D$3:$D$14</c:f>
              <c:numCache>
                <c:ptCount val="12"/>
                <c:pt idx="0">
                  <c:v>159.64035004688503</c:v>
                </c:pt>
                <c:pt idx="1">
                  <c:v>160.15764517820412</c:v>
                </c:pt>
                <c:pt idx="2">
                  <c:v>160.63056004460447</c:v>
                </c:pt>
                <c:pt idx="3">
                  <c:v>159.97491821867317</c:v>
                </c:pt>
                <c:pt idx="4">
                  <c:v>159.7523690724534</c:v>
                </c:pt>
                <c:pt idx="5">
                  <c:v>160.68662132375653</c:v>
                </c:pt>
                <c:pt idx="6">
                  <c:v>159.82289353533855</c:v>
                </c:pt>
                <c:pt idx="7">
                  <c:v>160.2191765379223</c:v>
                </c:pt>
                <c:pt idx="8">
                  <c:v>160.34041464443197</c:v>
                </c:pt>
                <c:pt idx="9">
                  <c:v>159.64035004688498</c:v>
                </c:pt>
                <c:pt idx="10">
                  <c:v>160.81731697595131</c:v>
                </c:pt>
                <c:pt idx="11">
                  <c:v>163.22332949642305</c:v>
                </c:pt>
              </c:numCache>
            </c:numRef>
          </c:val>
        </c:ser>
        <c:axId val="32066053"/>
        <c:axId val="20159022"/>
      </c:bar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Synth&#232;se!A1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Relationship Id="rId2" Type="http://schemas.openxmlformats.org/officeDocument/2006/relationships/hyperlink" Target="#Synth&#232;s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66675</xdr:rowOff>
    </xdr:from>
    <xdr:to>
      <xdr:col>12</xdr:col>
      <xdr:colOff>133350</xdr:colOff>
      <xdr:row>13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5276850" y="66675"/>
          <a:ext cx="3876675" cy="3019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Procédure pour la mise à jour des champs Hypothèses 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 A l'aide du logiciel de simulation Lubio ou du logiciel de programmation Lubio. Faite une programmation d'horloge astronomique et lancer une simulation sur une période 01/01/20XX au 31/12/20XX. La simulation crée automatiquement un fichier simulation.txt qui est stockée par défaut dans le répertoire : "C:\Program Files\Schneider Electric\Lubio-Simulation\Journal de bord - Simulation" pour le logiciel de simulation et "C:\Program Files\Schneider Electric\Lubio 2.3.0\Journal de bord - Simulation" pour le logiciel de paramétrage de Lubio.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lancer une macro à l'aide du bouton 
</a:t>
          </a:r>
        </a:p>
      </xdr:txBody>
    </xdr:sp>
    <xdr:clientData/>
  </xdr:twoCellAnchor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45</xdr:row>
      <xdr:rowOff>123825</xdr:rowOff>
    </xdr:from>
    <xdr:to>
      <xdr:col>2</xdr:col>
      <xdr:colOff>381000</xdr:colOff>
      <xdr:row>49</xdr:row>
      <xdr:rowOff>95250</xdr:rowOff>
    </xdr:to>
    <xdr:pic>
      <xdr:nvPicPr>
        <xdr:cNvPr id="5" name="Picture 12" descr="Logo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277225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66675</xdr:rowOff>
    </xdr:from>
    <xdr:to>
      <xdr:col>12</xdr:col>
      <xdr:colOff>95250</xdr:colOff>
      <xdr:row>16</xdr:row>
      <xdr:rowOff>133350</xdr:rowOff>
    </xdr:to>
    <xdr:sp>
      <xdr:nvSpPr>
        <xdr:cNvPr id="6" name="Rectangle 13"/>
        <xdr:cNvSpPr>
          <a:spLocks/>
        </xdr:cNvSpPr>
      </xdr:nvSpPr>
      <xdr:spPr>
        <a:xfrm>
          <a:off x="5238750" y="66675"/>
          <a:ext cx="387667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Procédure de calcul du nombre d'heures de fonctionnement (mise à jour des champs Hypothèses et des graphiques) 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 A l'aide du logiciel de simulation Lubio ou du logiciel de programmation Lubio. Faite une programmation d'horloge astronomique et lancer une simulation sur une période 01/01/20XX au 31/12/20XX. La simulation crée automatiquement un fichier simulation.txt qui est stockée par défaut dans le répertoire : "C:\Program Files\Schneider Electric\Lubio-Simulation\Journal de bord - Simulation" pour le logiciel de simulation et "C:\Program Files\Schneider Electric\Lubio 2.3.0\Journal de bord - Simulation" pour le logiciel de paramétrage de Lubio.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lancer une macro à l'aide du bouton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Les tensions nominales et les tensions d'économie sont celles définies dans la feuille  "Economie_énergie".</a:t>
          </a:r>
        </a:p>
      </xdr:txBody>
    </xdr:sp>
    <xdr:clientData/>
  </xdr:twoCellAnchor>
  <xdr:twoCellAnchor editAs="oneCell">
    <xdr:from>
      <xdr:col>10</xdr:col>
      <xdr:colOff>733425</xdr:colOff>
      <xdr:row>17</xdr:row>
      <xdr:rowOff>66675</xdr:rowOff>
    </xdr:from>
    <xdr:to>
      <xdr:col>11</xdr:col>
      <xdr:colOff>466725</xdr:colOff>
      <xdr:row>21</xdr:row>
      <xdr:rowOff>47625</xdr:rowOff>
    </xdr:to>
    <xdr:pic macro="[0]!Macro1">
      <xdr:nvPicPr>
        <xdr:cNvPr id="7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3686175"/>
          <a:ext cx="4953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133350</xdr:colOff>
      <xdr:row>18</xdr:row>
      <xdr:rowOff>47625</xdr:rowOff>
    </xdr:from>
    <xdr:to>
      <xdr:col>10</xdr:col>
      <xdr:colOff>657225</xdr:colOff>
      <xdr:row>20</xdr:row>
      <xdr:rowOff>66675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6867525" y="3829050"/>
          <a:ext cx="1285875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Imprimer le rapport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6</xdr:col>
      <xdr:colOff>104775</xdr:colOff>
      <xdr:row>32</xdr:row>
      <xdr:rowOff>76200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2450" y="4000500"/>
          <a:ext cx="7934325" cy="1238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du kWh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Tarif bleu EP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 au 15 Août 2006 (code 071)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Abonnement : 108,48 € /kVA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de l'énergie : 0,0348 €/kWH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Lubio permet de faire des économies sur l'énergie consommée uniquement.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prix de l'énergie il faut rajouter :  la taxe départementale qui varie de 0 à 8% (6 % en moyenne en France (sources EDF))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ainsi que 19,6 % de TVA.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Soit un coût total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0,0441 €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15</xdr:row>
      <xdr:rowOff>85725</xdr:rowOff>
    </xdr:from>
    <xdr:to>
      <xdr:col>7</xdr:col>
      <xdr:colOff>285750</xdr:colOff>
      <xdr:row>24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3425" y="3400425"/>
          <a:ext cx="91154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Deux paramètres contribuent à l'augmentation de la durée de vie des lampes à décharge :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- La régulation de tension qui permet de garantir une tension d'alimentation constante même si la tension du réseau varie,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- la mise sous tension lente et progressive des lampes.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Dans ces conditions, l'expérience montre que la durée de vie des sources lumineuses peut augmenter de 30 à 50 %.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E15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7.28125" style="0" customWidth="1"/>
    <col min="2" max="2" width="12.8515625" style="0" customWidth="1"/>
    <col min="3" max="3" width="57.140625" style="0" customWidth="1"/>
    <col min="4" max="4" width="19.140625" style="0" customWidth="1"/>
  </cols>
  <sheetData>
    <row r="1" spans="1:5" ht="19.5" customHeight="1">
      <c r="A1" s="176" t="s">
        <v>127</v>
      </c>
      <c r="B1" s="176" t="s">
        <v>83</v>
      </c>
      <c r="C1" s="176" t="s">
        <v>128</v>
      </c>
      <c r="D1" s="177" t="s">
        <v>129</v>
      </c>
      <c r="E1" s="177" t="s">
        <v>130</v>
      </c>
    </row>
    <row r="2" spans="1:5" ht="19.5" customHeight="1">
      <c r="A2" s="178" t="s">
        <v>131</v>
      </c>
      <c r="B2" s="179">
        <v>38502</v>
      </c>
      <c r="C2" s="175" t="s">
        <v>133</v>
      </c>
      <c r="D2" s="175" t="s">
        <v>132</v>
      </c>
      <c r="E2" s="175" t="s">
        <v>134</v>
      </c>
    </row>
    <row r="3" spans="1:5" ht="19.5" customHeight="1">
      <c r="A3" s="178" t="s">
        <v>135</v>
      </c>
      <c r="B3" s="179">
        <v>38533</v>
      </c>
      <c r="C3" s="175" t="s">
        <v>136</v>
      </c>
      <c r="D3" s="175" t="s">
        <v>11</v>
      </c>
      <c r="E3" s="175" t="s">
        <v>134</v>
      </c>
    </row>
    <row r="4" spans="1:5" ht="19.5" customHeight="1">
      <c r="A4" s="178" t="s">
        <v>137</v>
      </c>
      <c r="B4" s="179">
        <v>38552</v>
      </c>
      <c r="C4" s="175" t="s">
        <v>138</v>
      </c>
      <c r="D4" s="175" t="s">
        <v>139</v>
      </c>
      <c r="E4" s="175" t="s">
        <v>134</v>
      </c>
    </row>
    <row r="5" spans="1:5" ht="19.5" customHeight="1">
      <c r="A5" s="178" t="s">
        <v>145</v>
      </c>
      <c r="B5" s="179">
        <v>38563</v>
      </c>
      <c r="C5" s="175" t="s">
        <v>159</v>
      </c>
      <c r="D5" s="175"/>
      <c r="E5" s="175" t="s">
        <v>134</v>
      </c>
    </row>
    <row r="6" spans="1:5" ht="19.5" customHeight="1">
      <c r="A6" s="178" t="s">
        <v>158</v>
      </c>
      <c r="B6" s="179">
        <v>38769</v>
      </c>
      <c r="C6" s="175" t="s">
        <v>160</v>
      </c>
      <c r="D6" s="175" t="s">
        <v>161</v>
      </c>
      <c r="E6" s="175" t="s">
        <v>134</v>
      </c>
    </row>
    <row r="7" spans="1:5" ht="19.5" customHeight="1">
      <c r="A7" s="178"/>
      <c r="B7" s="175"/>
      <c r="C7" s="175"/>
      <c r="D7" s="175"/>
      <c r="E7" s="175"/>
    </row>
    <row r="8" spans="1:5" ht="19.5" customHeight="1">
      <c r="A8" s="178"/>
      <c r="B8" s="175"/>
      <c r="C8" s="175"/>
      <c r="D8" s="175"/>
      <c r="E8" s="175"/>
    </row>
    <row r="9" spans="1:5" ht="19.5" customHeight="1">
      <c r="A9" s="178"/>
      <c r="B9" s="175"/>
      <c r="C9" s="175"/>
      <c r="D9" s="175"/>
      <c r="E9" s="175"/>
    </row>
    <row r="10" spans="1:5" ht="19.5" customHeight="1">
      <c r="A10" s="178"/>
      <c r="B10" s="175"/>
      <c r="C10" s="175"/>
      <c r="D10" s="175"/>
      <c r="E10" s="175"/>
    </row>
    <row r="11" spans="1:5" ht="19.5" customHeight="1">
      <c r="A11" s="178"/>
      <c r="B11" s="175"/>
      <c r="C11" s="175"/>
      <c r="D11" s="175"/>
      <c r="E11" s="175"/>
    </row>
    <row r="12" spans="1:5" ht="19.5" customHeight="1">
      <c r="A12" s="178"/>
      <c r="B12" s="175"/>
      <c r="C12" s="175"/>
      <c r="D12" s="175"/>
      <c r="E12" s="175"/>
    </row>
    <row r="13" spans="1:5" ht="19.5" customHeight="1">
      <c r="A13" s="178"/>
      <c r="B13" s="175"/>
      <c r="C13" s="175"/>
      <c r="D13" s="175"/>
      <c r="E13" s="175"/>
    </row>
    <row r="14" spans="1:5" ht="19.5" customHeight="1">
      <c r="A14" s="178"/>
      <c r="B14" s="175"/>
      <c r="C14" s="175"/>
      <c r="D14" s="175"/>
      <c r="E14" s="175"/>
    </row>
    <row r="15" spans="1:5" ht="19.5" customHeight="1">
      <c r="A15" s="178"/>
      <c r="B15" s="175"/>
      <c r="C15" s="175"/>
      <c r="D15" s="175"/>
      <c r="E15" s="17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E18"/>
  <sheetViews>
    <sheetView showGridLines="0" showRowColHeaders="0" zoomScalePageLayoutView="0" workbookViewId="0" topLeftCell="A1">
      <selection activeCell="G16" sqref="G16"/>
    </sheetView>
  </sheetViews>
  <sheetFormatPr defaultColWidth="11.421875" defaultRowHeight="12.75"/>
  <cols>
    <col min="2" max="2" width="23.140625" style="0" customWidth="1"/>
    <col min="3" max="3" width="20.140625" style="0" customWidth="1"/>
    <col min="4" max="4" width="12.00390625" style="0" customWidth="1"/>
  </cols>
  <sheetData>
    <row r="1" spans="1:5" ht="15.75" thickBot="1">
      <c r="A1" s="2"/>
      <c r="B1" s="273" t="s">
        <v>119</v>
      </c>
      <c r="C1" s="274"/>
      <c r="D1" s="274"/>
      <c r="E1" s="275"/>
    </row>
    <row r="2" spans="1:5" ht="17.25" thickBot="1">
      <c r="A2" s="136"/>
      <c r="B2" s="137" t="s">
        <v>116</v>
      </c>
      <c r="C2" s="138" t="s">
        <v>115</v>
      </c>
      <c r="D2" s="139" t="s">
        <v>117</v>
      </c>
      <c r="E2" s="140" t="s">
        <v>98</v>
      </c>
    </row>
    <row r="3" spans="1:5" ht="16.5">
      <c r="A3" s="141" t="s">
        <v>103</v>
      </c>
      <c r="B3" s="142">
        <f>AVERAGE(Simulation!P15:P45)</f>
        <v>449.77497263126656</v>
      </c>
      <c r="C3" s="143">
        <f>AVERAGE(Simulation!Q15:Q45)</f>
        <v>609.4153226781516</v>
      </c>
      <c r="D3" s="144">
        <f>C3-B3</f>
        <v>159.64035004688503</v>
      </c>
      <c r="E3" s="145">
        <f>1-B3/C3</f>
        <v>0.26195657395899663</v>
      </c>
    </row>
    <row r="4" spans="1:5" ht="16.5">
      <c r="A4" s="146" t="s">
        <v>104</v>
      </c>
      <c r="B4" s="147">
        <f>AVERAGE(Simulation!P46:P73)</f>
        <v>450.52556920521954</v>
      </c>
      <c r="C4" s="148">
        <f>AVERAGE(Simulation!Q46:Q73)</f>
        <v>610.6832143834237</v>
      </c>
      <c r="D4" s="149">
        <f aca="true" t="shared" si="0" ref="D4:D14">C4-B4</f>
        <v>160.15764517820412</v>
      </c>
      <c r="E4" s="150">
        <f aca="true" t="shared" si="1" ref="E4:E14">1-B4/C4</f>
        <v>0.2622597795485624</v>
      </c>
    </row>
    <row r="5" spans="1:5" ht="16.5">
      <c r="A5" s="146" t="s">
        <v>105</v>
      </c>
      <c r="B5" s="147">
        <f>AVERAGE(Simulation!P74:P105)</f>
        <v>451.11131505327427</v>
      </c>
      <c r="C5" s="148">
        <f>AVERAGE(Simulation!Q74:Q105)</f>
        <v>611.7418750978787</v>
      </c>
      <c r="D5" s="149">
        <f t="shared" si="0"/>
        <v>160.63056004460447</v>
      </c>
      <c r="E5" s="150">
        <f t="shared" si="1"/>
        <v>0.2625789840182243</v>
      </c>
    </row>
    <row r="6" spans="1:5" ht="16.5">
      <c r="A6" s="146" t="s">
        <v>106</v>
      </c>
      <c r="B6" s="147">
        <f>AVERAGE(Simulation!P106:P134)</f>
        <v>450.26611636172396</v>
      </c>
      <c r="C6" s="148">
        <f>AVERAGE(Simulation!Q106:Q134)</f>
        <v>610.2410345803971</v>
      </c>
      <c r="D6" s="149">
        <f t="shared" si="0"/>
        <v>159.97491821867317</v>
      </c>
      <c r="E6" s="150">
        <f t="shared" si="1"/>
        <v>0.2621503785445569</v>
      </c>
    </row>
    <row r="7" spans="1:5" ht="16.5">
      <c r="A7" s="146" t="s">
        <v>107</v>
      </c>
      <c r="B7" s="147">
        <f>AVERAGE(Simulation!P135:P165)</f>
        <v>450.33634070258023</v>
      </c>
      <c r="C7" s="148">
        <f>AVERAGE(Simulation!Q135:Q165)</f>
        <v>610.0887097750336</v>
      </c>
      <c r="D7" s="149">
        <f t="shared" si="0"/>
        <v>159.7523690724534</v>
      </c>
      <c r="E7" s="150">
        <f t="shared" si="1"/>
        <v>0.26185104971269024</v>
      </c>
    </row>
    <row r="8" spans="1:5" ht="16.5">
      <c r="A8" s="146" t="s">
        <v>108</v>
      </c>
      <c r="B8" s="147">
        <f>AVERAGE(Simulation!P166:P195)</f>
        <v>450.00454544062086</v>
      </c>
      <c r="C8" s="148">
        <f>AVERAGE(Simulation!Q166:Q195)</f>
        <v>610.6911667643774</v>
      </c>
      <c r="D8" s="149">
        <f t="shared" si="0"/>
        <v>160.68662132375653</v>
      </c>
      <c r="E8" s="150">
        <f t="shared" si="1"/>
        <v>0.2631225569793678</v>
      </c>
    </row>
    <row r="9" spans="1:5" ht="16.5">
      <c r="A9" s="146" t="s">
        <v>109</v>
      </c>
      <c r="B9" s="147">
        <f>AVERAGE(Simulation!P196:P225)</f>
        <v>450.1167732289186</v>
      </c>
      <c r="C9" s="148">
        <f>AVERAGE(Simulation!Q196:Q225)</f>
        <v>609.9396667642571</v>
      </c>
      <c r="D9" s="149">
        <f t="shared" si="0"/>
        <v>159.82289353533855</v>
      </c>
      <c r="E9" s="150">
        <f t="shared" si="1"/>
        <v>0.2620306601523432</v>
      </c>
    </row>
    <row r="10" spans="1:5" ht="16.5">
      <c r="A10" s="146" t="s">
        <v>110</v>
      </c>
      <c r="B10" s="147">
        <f>AVERAGE(Simulation!P226:P257)</f>
        <v>451.13129230989387</v>
      </c>
      <c r="C10" s="148">
        <f>AVERAGE(Simulation!Q226:Q257)</f>
        <v>611.3504688478162</v>
      </c>
      <c r="D10" s="149">
        <f t="shared" si="0"/>
        <v>160.2191765379223</v>
      </c>
      <c r="E10" s="150">
        <f t="shared" si="1"/>
        <v>0.2620741860881859</v>
      </c>
    </row>
    <row r="11" spans="1:5" ht="16.5">
      <c r="A11" s="146" t="s">
        <v>111</v>
      </c>
      <c r="B11" s="147">
        <f>AVERAGE(Simulation!P258:P287)</f>
        <v>450.4899187866343</v>
      </c>
      <c r="C11" s="148">
        <f>AVERAGE(Simulation!Q258:Q287)</f>
        <v>610.8303334310663</v>
      </c>
      <c r="D11" s="149">
        <f t="shared" si="0"/>
        <v>160.34041464443197</v>
      </c>
      <c r="E11" s="150">
        <f t="shared" si="1"/>
        <v>0.26249582882335165</v>
      </c>
    </row>
    <row r="12" spans="1:5" ht="16.5">
      <c r="A12" s="146" t="s">
        <v>112</v>
      </c>
      <c r="B12" s="147">
        <f>AVERAGE(Simulation!P288:P318)</f>
        <v>449.7749726312666</v>
      </c>
      <c r="C12" s="148">
        <f>AVERAGE(Simulation!Q288:Q318)</f>
        <v>609.4153226781516</v>
      </c>
      <c r="D12" s="149">
        <f t="shared" si="0"/>
        <v>159.64035004688498</v>
      </c>
      <c r="E12" s="150">
        <f t="shared" si="1"/>
        <v>0.2619565739589965</v>
      </c>
    </row>
    <row r="13" spans="1:5" ht="16.5">
      <c r="A13" s="146" t="s">
        <v>113</v>
      </c>
      <c r="B13" s="147">
        <f>AVERAGE(Simulation!P319:P348)</f>
        <v>452.87984978890694</v>
      </c>
      <c r="C13" s="148">
        <f>AVERAGE(Simulation!Q319:Q348)</f>
        <v>613.6971667648583</v>
      </c>
      <c r="D13" s="149">
        <f t="shared" si="0"/>
        <v>160.81731697595131</v>
      </c>
      <c r="E13" s="150">
        <f t="shared" si="1"/>
        <v>0.26204669939036795</v>
      </c>
    </row>
    <row r="14" spans="1:5" ht="17.25" thickBot="1">
      <c r="A14" s="151" t="s">
        <v>114</v>
      </c>
      <c r="B14" s="152">
        <f>AVERAGE(Simulation!P349:P379)</f>
        <v>454.8382835031068</v>
      </c>
      <c r="C14" s="153">
        <f>AVERAGE(Simulation!Q349:Q379)</f>
        <v>618.0616129995299</v>
      </c>
      <c r="D14" s="154">
        <f t="shared" si="0"/>
        <v>163.22332949642305</v>
      </c>
      <c r="E14" s="155">
        <f t="shared" si="1"/>
        <v>0.2640890908986888</v>
      </c>
    </row>
    <row r="15" spans="1:5" ht="15.75" thickBot="1">
      <c r="A15" s="2"/>
      <c r="B15" s="156">
        <f>AVERAGE(B3:B14)</f>
        <v>450.93749580361776</v>
      </c>
      <c r="C15" s="157">
        <f>AVERAGE(C3:C14)</f>
        <v>611.3463245637452</v>
      </c>
      <c r="D15" s="2"/>
      <c r="E15" s="2"/>
    </row>
    <row r="16" ht="13.5" thickBot="1"/>
    <row r="17" spans="1:3" ht="13.5" thickBot="1">
      <c r="A17" s="173" t="s">
        <v>126</v>
      </c>
      <c r="B17" s="172">
        <f>B15*365</f>
        <v>164592.1859683205</v>
      </c>
      <c r="C17" s="171">
        <f>C15*365</f>
        <v>223141.408465767</v>
      </c>
    </row>
    <row r="18" ht="12.75">
      <c r="C18" s="132"/>
    </row>
  </sheetData>
  <sheetProtection password="CC6C" sheet="1" objects="1" scenarios="1"/>
  <mergeCells count="1"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I14"/>
  <sheetViews>
    <sheetView showGridLines="0" showRowColHeaders="0" tabSelected="1" zoomScalePageLayoutView="0" workbookViewId="0" topLeftCell="A1">
      <selection activeCell="C5" sqref="C5"/>
    </sheetView>
  </sheetViews>
  <sheetFormatPr defaultColWidth="11.421875" defaultRowHeight="12.75"/>
  <cols>
    <col min="1" max="1" width="9.57421875" style="0" customWidth="1"/>
    <col min="2" max="2" width="42.28125" style="0" customWidth="1"/>
    <col min="3" max="3" width="20.28125" style="39" customWidth="1"/>
    <col min="4" max="4" width="6.00390625" style="0" customWidth="1"/>
    <col min="7" max="9" width="0" style="0" hidden="1" customWidth="1"/>
  </cols>
  <sheetData>
    <row r="1" spans="2:4" ht="31.5">
      <c r="B1" s="236" t="s">
        <v>156</v>
      </c>
      <c r="C1" s="236"/>
      <c r="D1" s="236"/>
    </row>
    <row r="2" spans="2:9" ht="18" customHeight="1">
      <c r="B2" s="63"/>
      <c r="C2" s="63"/>
      <c r="D2" s="63"/>
      <c r="G2" s="62"/>
      <c r="H2" s="61" t="s">
        <v>33</v>
      </c>
      <c r="I2" s="61" t="s">
        <v>32</v>
      </c>
    </row>
    <row r="3" spans="2:9" ht="19.5">
      <c r="B3" s="52" t="s">
        <v>101</v>
      </c>
      <c r="C3" s="196" t="s">
        <v>545</v>
      </c>
      <c r="D3" s="52"/>
      <c r="G3" s="40" t="s">
        <v>31</v>
      </c>
      <c r="H3" s="60">
        <f>5140</f>
        <v>5140</v>
      </c>
      <c r="I3" s="59">
        <v>0.8</v>
      </c>
    </row>
    <row r="4" spans="2:4" ht="19.5">
      <c r="B4" s="48"/>
      <c r="C4" s="131"/>
      <c r="D4" s="48"/>
    </row>
    <row r="5" spans="2:9" ht="19.5">
      <c r="B5" s="52" t="s">
        <v>100</v>
      </c>
      <c r="C5" s="196"/>
      <c r="D5" s="52"/>
      <c r="G5" s="40" t="s">
        <v>31</v>
      </c>
      <c r="H5" s="60">
        <f>5140</f>
        <v>5140</v>
      </c>
      <c r="I5" s="59">
        <v>0.8</v>
      </c>
    </row>
    <row r="6" spans="2:9" ht="19.5">
      <c r="B6" s="48"/>
      <c r="C6" s="131"/>
      <c r="D6" s="48"/>
      <c r="G6" s="42"/>
      <c r="H6" s="42"/>
      <c r="I6" s="42"/>
    </row>
    <row r="8" ht="16.5">
      <c r="B8" s="136" t="s">
        <v>122</v>
      </c>
    </row>
    <row r="9" spans="2:3" ht="15">
      <c r="B9" s="2" t="s">
        <v>58</v>
      </c>
      <c r="C9" s="174">
        <f>heure_totale</f>
        <v>4454.0166673777</v>
      </c>
    </row>
    <row r="10" spans="2:3" ht="15">
      <c r="B10" s="158" t="s">
        <v>125</v>
      </c>
      <c r="C10" s="174">
        <f>heure_economie</f>
        <v>1934.0000003078271</v>
      </c>
    </row>
    <row r="11" spans="2:3" ht="15">
      <c r="B11" s="163" t="s">
        <v>123</v>
      </c>
      <c r="C11" s="160">
        <f>début_eco</f>
        <v>0.9791666666666666</v>
      </c>
    </row>
    <row r="12" spans="2:3" ht="15">
      <c r="B12" s="163" t="s">
        <v>124</v>
      </c>
      <c r="C12" s="160">
        <f>fin_eco</f>
        <v>0.1875</v>
      </c>
    </row>
    <row r="13" spans="2:3" ht="15">
      <c r="B13" s="163" t="s">
        <v>120</v>
      </c>
      <c r="C13" s="161">
        <f>Tension_nominale</f>
        <v>210</v>
      </c>
    </row>
    <row r="14" spans="2:4" ht="15">
      <c r="B14" s="164" t="s">
        <v>121</v>
      </c>
      <c r="C14" s="162">
        <f>tension_eco</f>
        <v>180</v>
      </c>
      <c r="D14" s="159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1">
    <mergeCell ref="B1:D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AB22"/>
  <sheetViews>
    <sheetView showGridLines="0" zoomScale="90" zoomScaleNormal="90" zoomScalePageLayoutView="0" workbookViewId="0" topLeftCell="A10">
      <selection activeCell="B8" sqref="B8"/>
    </sheetView>
  </sheetViews>
  <sheetFormatPr defaultColWidth="11.421875" defaultRowHeight="12.75"/>
  <cols>
    <col min="1" max="1" width="16.7109375" style="0" customWidth="1"/>
    <col min="2" max="2" width="109.57421875" style="0" customWidth="1"/>
    <col min="3" max="3" width="14.00390625" style="39" customWidth="1"/>
    <col min="4" max="4" width="6.00390625" style="0" customWidth="1"/>
    <col min="7" max="9" width="0" style="0" hidden="1" customWidth="1"/>
  </cols>
  <sheetData>
    <row r="1" spans="2:4" ht="31.5">
      <c r="B1" s="236" t="s">
        <v>71</v>
      </c>
      <c r="C1" s="236"/>
      <c r="D1" s="236"/>
    </row>
    <row r="2" spans="2:9" ht="9.75" customHeight="1">
      <c r="B2" s="63"/>
      <c r="C2" s="63"/>
      <c r="D2" s="63"/>
      <c r="G2" s="62"/>
      <c r="H2" s="61" t="s">
        <v>33</v>
      </c>
      <c r="I2" s="61" t="s">
        <v>32</v>
      </c>
    </row>
    <row r="3" spans="2:9" ht="19.5">
      <c r="B3" s="98" t="s">
        <v>140</v>
      </c>
      <c r="C3" s="51">
        <f>SUM(Puissance_installée!D20:F20)</f>
        <v>300</v>
      </c>
      <c r="D3" s="52"/>
      <c r="G3" s="40" t="s">
        <v>31</v>
      </c>
      <c r="H3" s="60">
        <f>5140</f>
        <v>5140</v>
      </c>
      <c r="I3" s="59">
        <v>0.8</v>
      </c>
    </row>
    <row r="4" spans="2:4" ht="19.5">
      <c r="B4" s="48"/>
      <c r="C4" s="49"/>
      <c r="D4" s="48"/>
    </row>
    <row r="5" spans="2:4" ht="19.5">
      <c r="B5" s="98" t="s">
        <v>30</v>
      </c>
      <c r="C5" s="97">
        <f>Puissance_active/1000</f>
        <v>50.1</v>
      </c>
      <c r="D5" s="50" t="s">
        <v>29</v>
      </c>
    </row>
    <row r="6" spans="2:9" ht="19.5">
      <c r="B6" s="48"/>
      <c r="C6" s="49"/>
      <c r="D6" s="48"/>
      <c r="G6" s="42"/>
      <c r="H6" s="42"/>
      <c r="I6" s="42"/>
    </row>
    <row r="7" spans="2:9" ht="19.5">
      <c r="B7" s="109" t="s">
        <v>28</v>
      </c>
      <c r="C7" s="168">
        <f>Economie_énergie!C14</f>
        <v>0.23596810556225</v>
      </c>
      <c r="D7" s="56"/>
      <c r="G7" s="42"/>
      <c r="H7" s="42"/>
      <c r="I7" s="42"/>
    </row>
    <row r="8" spans="2:9" ht="19.5">
      <c r="B8" s="98" t="s">
        <v>11</v>
      </c>
      <c r="C8" s="51">
        <f>conso_actuelle-conso_lubio</f>
        <v>50834.60898127552</v>
      </c>
      <c r="D8" s="50" t="s">
        <v>27</v>
      </c>
      <c r="G8" s="42"/>
      <c r="H8" s="42"/>
      <c r="I8" s="42"/>
    </row>
    <row r="9" spans="2:9" ht="19.5">
      <c r="B9" s="56"/>
      <c r="C9" s="58"/>
      <c r="D9" s="54"/>
      <c r="G9" s="42"/>
      <c r="H9" s="42"/>
      <c r="I9" s="42"/>
    </row>
    <row r="10" spans="2:9" ht="19.5">
      <c r="B10" s="46" t="s">
        <v>141</v>
      </c>
      <c r="C10" s="57">
        <f>(C8*109)/1000</f>
        <v>5540.972378959032</v>
      </c>
      <c r="D10" s="44" t="s">
        <v>26</v>
      </c>
      <c r="G10" s="42"/>
      <c r="H10" s="42"/>
      <c r="I10" s="42"/>
    </row>
    <row r="11" spans="2:9" ht="19.5">
      <c r="B11" s="48"/>
      <c r="C11" s="49"/>
      <c r="D11" s="48"/>
      <c r="G11" s="42"/>
      <c r="H11" s="42"/>
      <c r="I11" s="42"/>
    </row>
    <row r="12" spans="2:28" ht="19.5">
      <c r="B12" s="52" t="s">
        <v>25</v>
      </c>
      <c r="C12" s="51">
        <f>Economie_énergie!C16</f>
        <v>2242.822948253876</v>
      </c>
      <c r="D12" s="50" t="s">
        <v>21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ht="19.5">
      <c r="B13" s="48"/>
      <c r="C13" s="49"/>
      <c r="D13" s="4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2:28" ht="19.5">
      <c r="B14" s="98" t="s">
        <v>24</v>
      </c>
      <c r="C14" s="51">
        <f>Economie_lampes!C13</f>
        <v>941.25</v>
      </c>
      <c r="D14" s="50" t="s">
        <v>21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2:28" ht="19.5">
      <c r="B15" s="56"/>
      <c r="C15" s="55"/>
      <c r="D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2:28" ht="19.5">
      <c r="B16" s="52" t="s">
        <v>23</v>
      </c>
      <c r="C16" s="51">
        <f>Economie_lampes+Economie_energie</f>
        <v>3184.072948253876</v>
      </c>
      <c r="D16" s="50" t="s">
        <v>21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2:28" ht="19.5">
      <c r="B17" s="56"/>
      <c r="C17" s="55"/>
      <c r="D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2:28" ht="19.5">
      <c r="B18" s="98" t="s">
        <v>22</v>
      </c>
      <c r="C18" s="51">
        <f>Lubio!C13</f>
        <v>1683.68</v>
      </c>
      <c r="D18" s="50" t="s">
        <v>21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2:28" ht="19.5">
      <c r="B19" s="48"/>
      <c r="C19" s="49"/>
      <c r="D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2:28" ht="97.5">
      <c r="B20" s="46" t="s">
        <v>20</v>
      </c>
      <c r="C20" s="45">
        <f>IF(Gain_total=0,0,investissement_total/Gain_total)</f>
        <v>0.5287818549896348</v>
      </c>
      <c r="D20" s="44" t="s">
        <v>19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2" ht="12.75">
      <c r="B22" s="41"/>
    </row>
  </sheetData>
  <sheetProtection password="CC6C" sheet="1" objects="1" scenarios="1"/>
  <mergeCells count="1">
    <mergeCell ref="B1:D1"/>
  </mergeCells>
  <hyperlinks>
    <hyperlink ref="B3" location="Puissance_installée!A1" display="Puissance_installée!A1"/>
    <hyperlink ref="B5" location="Puissance_installée!B50" display="Puissance_installée!B50"/>
    <hyperlink ref="B14" location="Economie_lampes!B10" display="Economie_lampes!B10"/>
    <hyperlink ref="B7" location="Economie_énergie!C12" display="Economie_énergie!C12"/>
    <hyperlink ref="B18" location="Lubio!C10" display="Lubio!C10"/>
    <hyperlink ref="B8" location="Economie_énergie!A1" display="Economie_énergie!A1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&amp;L&amp;D&amp;C&amp;"Comic Sans MS,Normal"&amp;12Schneider Electric&amp;RPage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P45"/>
  <sheetViews>
    <sheetView showGridLines="0" zoomScalePageLayoutView="0" workbookViewId="0" topLeftCell="A27">
      <selection activeCell="B50" sqref="B50"/>
    </sheetView>
  </sheetViews>
  <sheetFormatPr defaultColWidth="11.421875" defaultRowHeight="12.75"/>
  <cols>
    <col min="1" max="1" width="40.140625" style="2" customWidth="1"/>
    <col min="2" max="2" width="16.28125" style="2" customWidth="1"/>
    <col min="3" max="3" width="38.421875" style="2" hidden="1" customWidth="1"/>
    <col min="4" max="9" width="10.7109375" style="2" customWidth="1"/>
    <col min="10" max="10" width="2.57421875" style="2" customWidth="1"/>
    <col min="11" max="11" width="15.140625" style="2" customWidth="1"/>
    <col min="12" max="12" width="14.140625" style="2" customWidth="1"/>
    <col min="13" max="13" width="11.421875" style="2" customWidth="1"/>
    <col min="14" max="14" width="17.8515625" style="2" hidden="1" customWidth="1"/>
    <col min="15" max="15" width="42.8515625" style="2" hidden="1" customWidth="1"/>
    <col min="16" max="16" width="14.421875" style="2" hidden="1" customWidth="1"/>
    <col min="17" max="16384" width="11.421875" style="2" customWidth="1"/>
  </cols>
  <sheetData>
    <row r="1" ht="19.5" customHeight="1"/>
    <row r="2" ht="19.5" customHeight="1" thickBot="1"/>
    <row r="3" spans="1:16" ht="17.25" thickBot="1">
      <c r="A3" s="252" t="s">
        <v>34</v>
      </c>
      <c r="B3" s="253"/>
      <c r="C3" s="253"/>
      <c r="D3" s="253"/>
      <c r="E3" s="253"/>
      <c r="F3" s="253"/>
      <c r="G3" s="253"/>
      <c r="H3" s="253"/>
      <c r="I3" s="254"/>
      <c r="N3" s="245" t="s">
        <v>46</v>
      </c>
      <c r="O3" s="213" t="s">
        <v>2</v>
      </c>
      <c r="P3" s="6" t="s">
        <v>148</v>
      </c>
    </row>
    <row r="4" spans="1:16" ht="17.25" thickBot="1">
      <c r="A4" s="237" t="s">
        <v>0</v>
      </c>
      <c r="B4" s="255" t="s">
        <v>46</v>
      </c>
      <c r="C4" s="1" t="s">
        <v>2</v>
      </c>
      <c r="D4" s="241" t="s">
        <v>47</v>
      </c>
      <c r="E4" s="241"/>
      <c r="F4" s="241"/>
      <c r="G4" s="241" t="s">
        <v>17</v>
      </c>
      <c r="H4" s="241"/>
      <c r="I4" s="250"/>
      <c r="K4" s="257" t="s">
        <v>54</v>
      </c>
      <c r="L4" s="258"/>
      <c r="N4" s="246"/>
      <c r="O4" s="74"/>
      <c r="P4" s="74"/>
    </row>
    <row r="5" spans="1:16" ht="17.25" thickBot="1">
      <c r="A5" s="251"/>
      <c r="B5" s="256"/>
      <c r="C5" s="207"/>
      <c r="D5" s="208" t="s">
        <v>14</v>
      </c>
      <c r="E5" s="208" t="s">
        <v>15</v>
      </c>
      <c r="F5" s="208" t="s">
        <v>16</v>
      </c>
      <c r="G5" s="208" t="s">
        <v>14</v>
      </c>
      <c r="H5" s="208" t="s">
        <v>15</v>
      </c>
      <c r="I5" s="209" t="s">
        <v>16</v>
      </c>
      <c r="K5" s="229" t="s">
        <v>155</v>
      </c>
      <c r="L5" s="230" t="s">
        <v>57</v>
      </c>
      <c r="N5" s="73"/>
      <c r="O5" s="74"/>
      <c r="P5" s="74"/>
    </row>
    <row r="6" spans="1:16" ht="16.5" customHeight="1">
      <c r="A6" s="247" t="s">
        <v>147</v>
      </c>
      <c r="B6" s="221"/>
      <c r="C6" s="9">
        <f>IF(B6="","",VLOOKUP(B6,puissance_ballon,2))</f>
      </c>
      <c r="D6" s="186"/>
      <c r="E6" s="186"/>
      <c r="F6" s="186"/>
      <c r="G6" s="16">
        <f>IF(B6="","",D6*$C6)</f>
      </c>
      <c r="H6" s="16">
        <f>IF(B6="","",E6*$C6)</f>
      </c>
      <c r="I6" s="17">
        <f>IF(B6="","",F6*$C6)</f>
      </c>
      <c r="K6" s="217">
        <f>IF(B6="","",VLOOKUP(B6,puissance_ballon,3))</f>
      </c>
      <c r="L6" s="89">
        <f>IF(B6="","",SUM(D6:F6)*K6)</f>
      </c>
      <c r="N6" s="5">
        <v>50</v>
      </c>
      <c r="O6" s="6">
        <v>63</v>
      </c>
      <c r="P6" s="214">
        <v>3</v>
      </c>
    </row>
    <row r="7" spans="1:16" ht="15">
      <c r="A7" s="248"/>
      <c r="B7" s="222"/>
      <c r="C7" s="6">
        <f>IF(B7="","",VLOOKUP(B7,puissance_ballon,2))</f>
      </c>
      <c r="D7" s="210"/>
      <c r="E7" s="210"/>
      <c r="F7" s="210"/>
      <c r="G7" s="79">
        <f aca="true" t="shared" si="0" ref="G7:G19">IF(B7="","",D7*$C7)</f>
      </c>
      <c r="H7" s="79">
        <f aca="true" t="shared" si="1" ref="H7:H19">IF(B7="","",E7*$C7)</f>
      </c>
      <c r="I7" s="80">
        <f aca="true" t="shared" si="2" ref="I7:I19">IF(B7="","",F7*$C7)</f>
      </c>
      <c r="K7" s="218">
        <f>IF(B7="","",VLOOKUP(B7,puissance_ballon,3))</f>
      </c>
      <c r="L7" s="90">
        <f aca="true" t="shared" si="3" ref="L7:L19">IF(B7="","",SUM(D7:F7)*K7)</f>
      </c>
      <c r="N7" s="5">
        <v>80</v>
      </c>
      <c r="O7" s="6">
        <v>93</v>
      </c>
      <c r="P7" s="214">
        <v>3.65</v>
      </c>
    </row>
    <row r="8" spans="1:16" ht="15">
      <c r="A8" s="248"/>
      <c r="B8" s="222"/>
      <c r="C8" s="6">
        <f>IF(B8="","",VLOOKUP(B8,puissance_ballon,2))</f>
      </c>
      <c r="D8" s="210"/>
      <c r="E8" s="210"/>
      <c r="F8" s="210"/>
      <c r="G8" s="79">
        <f t="shared" si="0"/>
      </c>
      <c r="H8" s="79">
        <f t="shared" si="1"/>
      </c>
      <c r="I8" s="80">
        <f t="shared" si="2"/>
      </c>
      <c r="K8" s="218">
        <f>IF(B8="","",VLOOKUP(B8,puissance_ballon,3))</f>
      </c>
      <c r="L8" s="90">
        <f t="shared" si="3"/>
      </c>
      <c r="N8" s="5">
        <v>125</v>
      </c>
      <c r="O8" s="6">
        <v>141</v>
      </c>
      <c r="P8" s="214">
        <v>3.65</v>
      </c>
    </row>
    <row r="9" spans="1:16" ht="15.75" customHeight="1" thickBot="1">
      <c r="A9" s="249"/>
      <c r="B9" s="223"/>
      <c r="C9" s="7">
        <f>IF(B9="","",VLOOKUP(B9,puissance_ballon,2))</f>
      </c>
      <c r="D9" s="211"/>
      <c r="E9" s="211"/>
      <c r="F9" s="211"/>
      <c r="G9" s="18">
        <f t="shared" si="0"/>
      </c>
      <c r="H9" s="18">
        <f t="shared" si="1"/>
      </c>
      <c r="I9" s="19">
        <f t="shared" si="2"/>
      </c>
      <c r="K9" s="219">
        <f>IF(B9="","",VLOOKUP(B9,puissance_ballon,3))</f>
      </c>
      <c r="L9" s="91">
        <f t="shared" si="3"/>
      </c>
      <c r="N9" s="5">
        <v>250</v>
      </c>
      <c r="O9" s="6">
        <v>267</v>
      </c>
      <c r="P9" s="214">
        <v>7.3</v>
      </c>
    </row>
    <row r="10" spans="1:16" ht="15" customHeight="1">
      <c r="A10" s="247" t="s">
        <v>146</v>
      </c>
      <c r="B10" s="221">
        <v>150</v>
      </c>
      <c r="C10" s="9">
        <f>IF(B10="","",VLOOKUP(B10,puissance_vshp,2))</f>
        <v>167</v>
      </c>
      <c r="D10" s="186">
        <v>100</v>
      </c>
      <c r="E10" s="186">
        <v>100</v>
      </c>
      <c r="F10" s="186">
        <v>100</v>
      </c>
      <c r="G10" s="16">
        <f t="shared" si="0"/>
        <v>16700</v>
      </c>
      <c r="H10" s="16">
        <f t="shared" si="1"/>
        <v>16700</v>
      </c>
      <c r="I10" s="17">
        <f t="shared" si="2"/>
        <v>16700</v>
      </c>
      <c r="K10" s="217">
        <f>IF(B10="","",VLOOKUP(B10,puissance_vshp,3))</f>
        <v>12.65</v>
      </c>
      <c r="L10" s="89">
        <f t="shared" si="3"/>
        <v>3795</v>
      </c>
      <c r="N10" s="5">
        <v>400</v>
      </c>
      <c r="O10" s="6">
        <v>423</v>
      </c>
      <c r="P10" s="214">
        <v>10</v>
      </c>
    </row>
    <row r="11" spans="1:16" ht="15" customHeight="1">
      <c r="A11" s="248"/>
      <c r="B11" s="222"/>
      <c r="C11" s="6">
        <f>IF(B11="","",VLOOKUP(B11,puissance_vshp,2))</f>
      </c>
      <c r="D11" s="210"/>
      <c r="E11" s="210"/>
      <c r="F11" s="210"/>
      <c r="G11" s="79">
        <f t="shared" si="0"/>
      </c>
      <c r="H11" s="79">
        <f t="shared" si="1"/>
      </c>
      <c r="I11" s="80">
        <f t="shared" si="2"/>
      </c>
      <c r="K11" s="218">
        <f>IF(B11="","",VLOOKUP(B11,puissance_vshp,3))</f>
      </c>
      <c r="L11" s="90">
        <f t="shared" si="3"/>
      </c>
      <c r="N11" s="5"/>
      <c r="O11" s="6"/>
      <c r="P11" s="214"/>
    </row>
    <row r="12" spans="1:16" ht="15" customHeight="1">
      <c r="A12" s="248"/>
      <c r="B12" s="222"/>
      <c r="C12" s="6">
        <f>IF(B12="","",VLOOKUP(B12,puissance_vshp,2))</f>
      </c>
      <c r="D12" s="210"/>
      <c r="E12" s="210"/>
      <c r="F12" s="210"/>
      <c r="G12" s="79">
        <f t="shared" si="0"/>
      </c>
      <c r="H12" s="79">
        <f t="shared" si="1"/>
      </c>
      <c r="I12" s="80">
        <f t="shared" si="2"/>
      </c>
      <c r="K12" s="218">
        <f>IF(B12="","",VLOOKUP(B12,puissance_vshp,3))</f>
      </c>
      <c r="L12" s="90">
        <f t="shared" si="3"/>
      </c>
      <c r="N12" s="5">
        <v>50</v>
      </c>
      <c r="O12" s="6">
        <v>63</v>
      </c>
      <c r="P12" s="214">
        <v>14</v>
      </c>
    </row>
    <row r="13" spans="1:16" ht="15.75" customHeight="1">
      <c r="A13" s="248"/>
      <c r="B13" s="222"/>
      <c r="C13" s="6">
        <f>IF(B13="","",VLOOKUP(B13,puissance_vshp,2))</f>
      </c>
      <c r="D13" s="210"/>
      <c r="E13" s="210"/>
      <c r="F13" s="210"/>
      <c r="G13" s="79">
        <f t="shared" si="0"/>
      </c>
      <c r="H13" s="79">
        <f t="shared" si="1"/>
      </c>
      <c r="I13" s="80">
        <f t="shared" si="2"/>
      </c>
      <c r="K13" s="218">
        <f>IF(B13="","",VLOOKUP(B13,puissance_vshp,3))</f>
      </c>
      <c r="L13" s="90">
        <f t="shared" si="3"/>
      </c>
      <c r="N13" s="5">
        <v>70</v>
      </c>
      <c r="O13" s="6">
        <v>85</v>
      </c>
      <c r="P13" s="214">
        <v>11</v>
      </c>
    </row>
    <row r="14" spans="1:16" ht="15.75" customHeight="1" thickBot="1">
      <c r="A14" s="249"/>
      <c r="B14" s="223"/>
      <c r="C14" s="7">
        <f>IF(B14="","",VLOOKUP(B14,puissance_vshp,2))</f>
      </c>
      <c r="D14" s="211"/>
      <c r="E14" s="211"/>
      <c r="F14" s="211"/>
      <c r="G14" s="18">
        <f t="shared" si="0"/>
      </c>
      <c r="H14" s="18">
        <f t="shared" si="1"/>
      </c>
      <c r="I14" s="19">
        <f t="shared" si="2"/>
      </c>
      <c r="K14" s="220">
        <f>IF(B14="","",VLOOKUP(B14,puissance_vshp,3))</f>
      </c>
      <c r="L14" s="91">
        <f t="shared" si="3"/>
      </c>
      <c r="N14" s="5">
        <v>100</v>
      </c>
      <c r="O14" s="6">
        <v>116</v>
      </c>
      <c r="P14" s="214">
        <v>11.89</v>
      </c>
    </row>
    <row r="15" spans="1:16" ht="15.75" customHeight="1">
      <c r="A15" s="247" t="s">
        <v>1</v>
      </c>
      <c r="B15" s="221"/>
      <c r="C15" s="9">
        <f>IF(B15="","",VLOOKUP(B15,puissance_im,2))</f>
      </c>
      <c r="D15" s="186"/>
      <c r="E15" s="186"/>
      <c r="F15" s="186"/>
      <c r="G15" s="16">
        <f t="shared" si="0"/>
      </c>
      <c r="H15" s="16">
        <f t="shared" si="1"/>
      </c>
      <c r="I15" s="17">
        <f t="shared" si="2"/>
      </c>
      <c r="K15" s="217">
        <f>IF(B15="","",VLOOKUP(B15,puissance_im,3))</f>
      </c>
      <c r="L15" s="89">
        <f t="shared" si="3"/>
      </c>
      <c r="N15" s="5">
        <v>150</v>
      </c>
      <c r="O15" s="6">
        <v>167</v>
      </c>
      <c r="P15" s="214">
        <v>12.65</v>
      </c>
    </row>
    <row r="16" spans="1:16" ht="15.75" customHeight="1">
      <c r="A16" s="248"/>
      <c r="B16" s="222"/>
      <c r="C16" s="6">
        <f>IF(B16="","",VLOOKUP(B16,puissance_im,2))</f>
      </c>
      <c r="D16" s="210"/>
      <c r="E16" s="210"/>
      <c r="F16" s="210"/>
      <c r="G16" s="79">
        <f t="shared" si="0"/>
      </c>
      <c r="H16" s="79">
        <f t="shared" si="1"/>
      </c>
      <c r="I16" s="80">
        <f t="shared" si="2"/>
      </c>
      <c r="K16" s="218">
        <f>IF(B16="","",VLOOKUP(B16,puissance_im,3))</f>
      </c>
      <c r="L16" s="90">
        <f t="shared" si="3"/>
      </c>
      <c r="N16" s="5">
        <v>250</v>
      </c>
      <c r="O16" s="6">
        <v>278</v>
      </c>
      <c r="P16" s="214">
        <v>12.65</v>
      </c>
    </row>
    <row r="17" spans="1:16" ht="15" customHeight="1">
      <c r="A17" s="248"/>
      <c r="B17" s="222"/>
      <c r="C17" s="6">
        <f>IF(B17="","",VLOOKUP(B17,puissance_im,2))</f>
      </c>
      <c r="D17" s="210"/>
      <c r="E17" s="210"/>
      <c r="F17" s="210"/>
      <c r="G17" s="79">
        <f t="shared" si="0"/>
      </c>
      <c r="H17" s="79">
        <f t="shared" si="1"/>
      </c>
      <c r="I17" s="80">
        <f t="shared" si="2"/>
      </c>
      <c r="K17" s="218">
        <f>IF(B17="","",VLOOKUP(B17,puissance_im,3))</f>
      </c>
      <c r="L17" s="90">
        <f t="shared" si="3"/>
      </c>
      <c r="N17" s="5">
        <v>400</v>
      </c>
      <c r="O17" s="6">
        <v>440</v>
      </c>
      <c r="P17" s="214">
        <v>15.24</v>
      </c>
    </row>
    <row r="18" spans="1:16" ht="15" customHeight="1">
      <c r="A18" s="248"/>
      <c r="B18" s="222"/>
      <c r="C18" s="6">
        <f>IF(B18="","",VLOOKUP(B18,puissance_im,2))</f>
      </c>
      <c r="D18" s="210"/>
      <c r="E18" s="210"/>
      <c r="F18" s="210"/>
      <c r="G18" s="79">
        <f t="shared" si="0"/>
      </c>
      <c r="H18" s="79">
        <f t="shared" si="1"/>
      </c>
      <c r="I18" s="80">
        <f t="shared" si="2"/>
      </c>
      <c r="K18" s="218">
        <f>IF(B18="","",VLOOKUP(B18,puissance_im,3))</f>
      </c>
      <c r="L18" s="90">
        <f t="shared" si="3"/>
      </c>
      <c r="N18" s="5">
        <v>1000</v>
      </c>
      <c r="O18" s="6">
        <v>1060</v>
      </c>
      <c r="P18" s="214">
        <v>79.27</v>
      </c>
    </row>
    <row r="19" spans="1:16" ht="15" customHeight="1" thickBot="1">
      <c r="A19" s="249"/>
      <c r="B19" s="223"/>
      <c r="C19" s="7">
        <f>IF(B19="","",VLOOKUP(B19,puissance_im,2))</f>
      </c>
      <c r="D19" s="211"/>
      <c r="E19" s="211"/>
      <c r="F19" s="211"/>
      <c r="G19" s="18">
        <f t="shared" si="0"/>
      </c>
      <c r="H19" s="18">
        <f t="shared" si="1"/>
      </c>
      <c r="I19" s="19">
        <f t="shared" si="2"/>
      </c>
      <c r="K19" s="219">
        <f>IF(B19="","",VLOOKUP(B19,puissance_im,3))</f>
      </c>
      <c r="L19" s="91">
        <f t="shared" si="3"/>
      </c>
      <c r="N19" s="5"/>
      <c r="O19" s="6"/>
      <c r="P19" s="214"/>
    </row>
    <row r="20" spans="1:16" ht="15.75" customHeight="1" thickBot="1">
      <c r="A20" s="30" t="s">
        <v>44</v>
      </c>
      <c r="B20" s="70"/>
      <c r="C20" s="14"/>
      <c r="D20" s="169">
        <f aca="true" t="shared" si="4" ref="D20:I20">SUM(D6:D19)</f>
        <v>100</v>
      </c>
      <c r="E20" s="169">
        <f t="shared" si="4"/>
        <v>100</v>
      </c>
      <c r="F20" s="169">
        <f t="shared" si="4"/>
        <v>100</v>
      </c>
      <c r="G20" s="169">
        <f t="shared" si="4"/>
        <v>16700</v>
      </c>
      <c r="H20" s="169">
        <f t="shared" si="4"/>
        <v>16700</v>
      </c>
      <c r="I20" s="169">
        <f t="shared" si="4"/>
        <v>16700</v>
      </c>
      <c r="K20" s="215" t="s">
        <v>44</v>
      </c>
      <c r="L20" s="216">
        <f>SUM(L6:L19)</f>
        <v>3795</v>
      </c>
      <c r="N20" s="5">
        <v>50</v>
      </c>
      <c r="O20" s="6">
        <v>63</v>
      </c>
      <c r="P20" s="214">
        <v>14</v>
      </c>
    </row>
    <row r="21" spans="1:16" ht="15.75" customHeight="1">
      <c r="A21" s="10"/>
      <c r="B21" s="11"/>
      <c r="C21" s="11"/>
      <c r="D21" s="11"/>
      <c r="E21" s="11"/>
      <c r="F21" s="11"/>
      <c r="G21" s="11"/>
      <c r="H21" s="11"/>
      <c r="I21" s="11"/>
      <c r="N21" s="5">
        <v>70</v>
      </c>
      <c r="O21" s="6">
        <v>85</v>
      </c>
      <c r="P21" s="214">
        <v>11</v>
      </c>
    </row>
    <row r="22" spans="1:16" ht="15.75" customHeight="1">
      <c r="A22" s="10"/>
      <c r="B22" s="11"/>
      <c r="C22" s="11"/>
      <c r="D22" s="11"/>
      <c r="E22" s="11"/>
      <c r="F22" s="11"/>
      <c r="G22" s="11"/>
      <c r="H22" s="11"/>
      <c r="I22" s="11"/>
      <c r="N22" s="5">
        <v>100</v>
      </c>
      <c r="O22" s="6">
        <v>116</v>
      </c>
      <c r="P22" s="214">
        <v>11</v>
      </c>
    </row>
    <row r="23" spans="1:16" ht="16.5">
      <c r="A23" s="10"/>
      <c r="B23" s="11"/>
      <c r="C23" s="11"/>
      <c r="D23" s="11"/>
      <c r="E23" s="11"/>
      <c r="F23" s="11"/>
      <c r="G23" s="11"/>
      <c r="H23" s="11"/>
      <c r="I23" s="11"/>
      <c r="N23" s="5">
        <v>150</v>
      </c>
      <c r="O23" s="6">
        <v>167</v>
      </c>
      <c r="P23" s="214">
        <v>12.65</v>
      </c>
    </row>
    <row r="24" spans="1:16" ht="16.5">
      <c r="A24" s="10"/>
      <c r="B24" s="11"/>
      <c r="C24" s="11"/>
      <c r="D24" s="11"/>
      <c r="E24" s="11"/>
      <c r="F24" s="11"/>
      <c r="G24" s="11"/>
      <c r="H24" s="11"/>
      <c r="I24" s="11"/>
      <c r="N24" s="5">
        <v>250</v>
      </c>
      <c r="O24" s="6">
        <v>278</v>
      </c>
      <c r="P24" s="214">
        <v>12.65</v>
      </c>
    </row>
    <row r="25" spans="1:16" ht="16.5">
      <c r="A25" s="10"/>
      <c r="B25" s="11"/>
      <c r="C25" s="11"/>
      <c r="D25" s="11"/>
      <c r="E25" s="11"/>
      <c r="F25" s="11"/>
      <c r="G25" s="11"/>
      <c r="H25" s="11"/>
      <c r="I25" s="11"/>
      <c r="K25"/>
      <c r="N25" s="5">
        <v>400</v>
      </c>
      <c r="O25" s="6">
        <v>440</v>
      </c>
      <c r="P25" s="214">
        <v>15.24</v>
      </c>
    </row>
    <row r="26" spans="1:16" ht="16.5">
      <c r="A26" s="10"/>
      <c r="B26" s="11"/>
      <c r="C26" s="11"/>
      <c r="D26" s="11"/>
      <c r="E26" s="11"/>
      <c r="F26" s="11"/>
      <c r="G26" s="11"/>
      <c r="H26" s="11"/>
      <c r="I26" s="11"/>
      <c r="N26" s="5">
        <v>1000</v>
      </c>
      <c r="O26" s="6">
        <v>1060</v>
      </c>
      <c r="P26" s="214">
        <v>79.27</v>
      </c>
    </row>
    <row r="27" spans="1:16" ht="16.5">
      <c r="A27" s="10"/>
      <c r="B27" s="11"/>
      <c r="C27" s="11"/>
      <c r="D27" s="11"/>
      <c r="E27" s="11"/>
      <c r="F27" s="11"/>
      <c r="G27" s="11"/>
      <c r="H27" s="11"/>
      <c r="I27" s="11"/>
      <c r="P27" s="212"/>
    </row>
    <row r="28" spans="1:16" ht="17.25" thickBot="1">
      <c r="A28" s="10"/>
      <c r="B28" s="11"/>
      <c r="C28" s="11"/>
      <c r="D28" s="11"/>
      <c r="E28" s="11"/>
      <c r="F28" s="11"/>
      <c r="G28" s="11"/>
      <c r="H28" s="11"/>
      <c r="I28" s="11"/>
      <c r="P28" s="212"/>
    </row>
    <row r="29" spans="1:16" ht="17.25" thickBot="1">
      <c r="A29" s="204" t="s">
        <v>35</v>
      </c>
      <c r="B29" s="205"/>
      <c r="C29" s="205"/>
      <c r="D29" s="205"/>
      <c r="E29" s="205"/>
      <c r="F29" s="205"/>
      <c r="G29" s="205"/>
      <c r="H29" s="205"/>
      <c r="I29" s="206"/>
      <c r="P29" s="212"/>
    </row>
    <row r="30" spans="1:9" ht="19.5" customHeight="1">
      <c r="A30" s="237" t="s">
        <v>0</v>
      </c>
      <c r="B30" s="239" t="s">
        <v>36</v>
      </c>
      <c r="C30" s="1" t="s">
        <v>2</v>
      </c>
      <c r="D30" s="241" t="s">
        <v>39</v>
      </c>
      <c r="E30" s="241"/>
      <c r="F30" s="241"/>
      <c r="G30" s="242" t="s">
        <v>45</v>
      </c>
      <c r="H30" s="243"/>
      <c r="I30" s="244"/>
    </row>
    <row r="31" spans="1:9" ht="19.5" customHeight="1" thickBot="1">
      <c r="A31" s="238"/>
      <c r="B31" s="240"/>
      <c r="C31" s="3"/>
      <c r="D31" s="4" t="s">
        <v>37</v>
      </c>
      <c r="E31" s="4" t="s">
        <v>38</v>
      </c>
      <c r="F31" s="4" t="s">
        <v>40</v>
      </c>
      <c r="G31" s="4" t="s">
        <v>14</v>
      </c>
      <c r="H31" s="4" t="s">
        <v>15</v>
      </c>
      <c r="I31" s="13" t="s">
        <v>16</v>
      </c>
    </row>
    <row r="32" spans="1:9" ht="16.5">
      <c r="A32" s="31" t="s">
        <v>41</v>
      </c>
      <c r="B32" s="33"/>
      <c r="C32" s="76"/>
      <c r="D32" s="187">
        <v>0</v>
      </c>
      <c r="E32" s="187">
        <v>0</v>
      </c>
      <c r="F32" s="187">
        <v>0</v>
      </c>
      <c r="G32" s="16">
        <f>IF(D32=0,0,((230*230)/D32)*E32*F32)</f>
        <v>0</v>
      </c>
      <c r="H32" s="16"/>
      <c r="I32" s="17"/>
    </row>
    <row r="33" spans="1:9" ht="16.5">
      <c r="A33" s="77" t="s">
        <v>42</v>
      </c>
      <c r="B33" s="73"/>
      <c r="C33" s="74"/>
      <c r="D33" s="188">
        <v>0</v>
      </c>
      <c r="E33" s="188">
        <v>0</v>
      </c>
      <c r="F33" s="188">
        <v>0</v>
      </c>
      <c r="G33" s="79"/>
      <c r="H33" s="79">
        <f>IF(D33=0,0,((230*230)/D33)*E33*F33)</f>
        <v>0</v>
      </c>
      <c r="I33" s="80"/>
    </row>
    <row r="34" spans="1:9" ht="17.25" thickBot="1">
      <c r="A34" s="32" t="s">
        <v>43</v>
      </c>
      <c r="B34" s="34"/>
      <c r="C34" s="3"/>
      <c r="D34" s="189">
        <v>0</v>
      </c>
      <c r="E34" s="189">
        <v>0</v>
      </c>
      <c r="F34" s="189">
        <v>0</v>
      </c>
      <c r="G34" s="18"/>
      <c r="H34" s="18"/>
      <c r="I34" s="19">
        <f>IF(D34=0,0,((230*230)/D34)*E34*F34)</f>
        <v>0</v>
      </c>
    </row>
    <row r="35" spans="1:9" ht="17.25" thickBot="1">
      <c r="A35" s="197" t="s">
        <v>44</v>
      </c>
      <c r="B35" s="198"/>
      <c r="C35" s="198"/>
      <c r="D35" s="198"/>
      <c r="E35" s="198"/>
      <c r="F35" s="198"/>
      <c r="G35" s="81">
        <f>SUM(G32:G34)</f>
        <v>0</v>
      </c>
      <c r="H35" s="81">
        <f>SUM(H32:H34)</f>
        <v>0</v>
      </c>
      <c r="I35" s="15">
        <f>SUM(I32:I34)</f>
        <v>0</v>
      </c>
    </row>
    <row r="36" spans="1:9" ht="17.25" thickBot="1">
      <c r="A36" s="72"/>
      <c r="B36" s="72"/>
      <c r="C36" s="75"/>
      <c r="D36" s="11"/>
      <c r="E36" s="11"/>
      <c r="F36" s="11"/>
      <c r="G36" s="11"/>
      <c r="H36" s="11"/>
      <c r="I36" s="11"/>
    </row>
    <row r="37" spans="4:6" ht="15.75" thickBot="1">
      <c r="D37" s="20" t="s">
        <v>14</v>
      </c>
      <c r="E37" s="21" t="s">
        <v>15</v>
      </c>
      <c r="F37" s="22" t="s">
        <v>16</v>
      </c>
    </row>
    <row r="38" spans="1:6" ht="16.5">
      <c r="A38" s="37" t="s">
        <v>48</v>
      </c>
      <c r="B38" s="201"/>
      <c r="C38" s="8">
        <f>SUM(H6:H15)</f>
        <v>16700</v>
      </c>
      <c r="D38" s="16">
        <f>G20+G35</f>
        <v>16700</v>
      </c>
      <c r="E38" s="16">
        <f>H20+H35</f>
        <v>16700</v>
      </c>
      <c r="F38" s="16">
        <f>I20+I35</f>
        <v>16700</v>
      </c>
    </row>
    <row r="39" spans="1:6" ht="16.5">
      <c r="A39" s="202" t="s">
        <v>3</v>
      </c>
      <c r="B39" s="78"/>
      <c r="C39" s="6"/>
      <c r="D39" s="190">
        <v>0.85</v>
      </c>
      <c r="E39" s="190">
        <v>0.85</v>
      </c>
      <c r="F39" s="191">
        <v>0.85</v>
      </c>
    </row>
    <row r="40" spans="1:6" ht="17.25" thickBot="1">
      <c r="A40" s="38" t="s">
        <v>49</v>
      </c>
      <c r="B40" s="203"/>
      <c r="C40" s="7"/>
      <c r="D40" s="18">
        <f>D38/D39</f>
        <v>19647.058823529413</v>
      </c>
      <c r="E40" s="18">
        <f>E38/E39</f>
        <v>19647.058823529413</v>
      </c>
      <c r="F40" s="19">
        <f>F38/F39</f>
        <v>19647.058823529413</v>
      </c>
    </row>
    <row r="41" spans="1:6" ht="17.25" thickBot="1">
      <c r="A41" s="199" t="s">
        <v>10</v>
      </c>
      <c r="B41" s="200"/>
      <c r="C41" s="12" t="e">
        <f>((Tension_nominale*Tension_nominale)/((230*230)/C40))/Tension_nominale</f>
        <v>#DIV/0!</v>
      </c>
      <c r="D41" s="15">
        <f>IF(D38=0,0,((Tension_nominale*Tension_nominale)/((230*230)/D40))/Tension_nominale)</f>
        <v>77.99399532970088</v>
      </c>
      <c r="E41" s="15">
        <f>IF(E38=0,0,((Tension_nominale*Tension_nominale)/((230*230)/E40))/Tension_nominale)</f>
        <v>77.99399532970088</v>
      </c>
      <c r="F41" s="15">
        <f>IF(F38=0,0,((Tension_nominale*Tension_nominale)/((230*230)/F40))/Tension_nominale)</f>
        <v>77.99399532970088</v>
      </c>
    </row>
    <row r="42" ht="15.75" thickBot="1"/>
    <row r="43" spans="1:2" ht="17.25" thickBot="1">
      <c r="A43" s="28" t="s">
        <v>70</v>
      </c>
      <c r="B43" s="15">
        <f>SUM(D38:F38)</f>
        <v>50100</v>
      </c>
    </row>
    <row r="44" ht="15.75" thickBot="1"/>
    <row r="45" spans="1:2" ht="17.25" thickBot="1">
      <c r="A45" s="28" t="s">
        <v>69</v>
      </c>
      <c r="B45" s="15">
        <f>SUM(D40:F40)</f>
        <v>58941.17647058824</v>
      </c>
    </row>
  </sheetData>
  <sheetProtection password="CC6C" sheet="1" objects="1" scenarios="1"/>
  <mergeCells count="14">
    <mergeCell ref="A4:A5"/>
    <mergeCell ref="A3:I3"/>
    <mergeCell ref="B4:B5"/>
    <mergeCell ref="K4:L4"/>
    <mergeCell ref="A30:A31"/>
    <mergeCell ref="B30:B31"/>
    <mergeCell ref="D30:F30"/>
    <mergeCell ref="G30:I30"/>
    <mergeCell ref="N3:N4"/>
    <mergeCell ref="A6:A9"/>
    <mergeCell ref="A10:A14"/>
    <mergeCell ref="A15:A19"/>
    <mergeCell ref="G4:I4"/>
    <mergeCell ref="D4:F4"/>
  </mergeCells>
  <dataValidations count="3">
    <dataValidation type="list" allowBlank="1" showInputMessage="1" showErrorMessage="1" sqref="B6:B9">
      <formula1>$N$5:$N$10</formula1>
    </dataValidation>
    <dataValidation type="list" allowBlank="1" showInputMessage="1" showErrorMessage="1" sqref="B10:B14">
      <formula1>$N$11:$N$18</formula1>
    </dataValidation>
    <dataValidation type="list" allowBlank="1" showInputMessage="1" showErrorMessage="1" sqref="B15:B19">
      <formula1>$N$19:$N$26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2"/>
  <headerFooter alignWithMargins="0">
    <oddFooter>&amp;L&amp;D&amp;C&amp;"Comic Sans MS,Normal"&amp;12Schneider Electric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G27"/>
  <sheetViews>
    <sheetView showGridLines="0" zoomScale="95" zoomScaleNormal="95" zoomScalePageLayoutView="0" workbookViewId="0" topLeftCell="A4">
      <selection activeCell="B20" sqref="B20"/>
    </sheetView>
  </sheetViews>
  <sheetFormatPr defaultColWidth="11.421875" defaultRowHeight="12.75"/>
  <cols>
    <col min="1" max="1" width="8.140625" style="2" customWidth="1"/>
    <col min="2" max="2" width="46.7109375" style="2" customWidth="1"/>
    <col min="3" max="3" width="12.7109375" style="29" customWidth="1"/>
    <col min="4" max="4" width="5.7109375" style="29" customWidth="1"/>
    <col min="5" max="5" width="5.7109375" style="2" customWidth="1"/>
    <col min="6" max="6" width="46.7109375" style="2" customWidth="1"/>
    <col min="7" max="7" width="12.7109375" style="2" customWidth="1"/>
    <col min="8" max="16384" width="11.421875" style="2" customWidth="1"/>
  </cols>
  <sheetData>
    <row r="1" ht="19.5" customHeight="1"/>
    <row r="2" ht="19.5" customHeight="1" thickBot="1"/>
    <row r="3" spans="2:7" ht="32.25" thickBot="1">
      <c r="B3" s="263" t="s">
        <v>50</v>
      </c>
      <c r="C3" s="264"/>
      <c r="D3" s="264"/>
      <c r="E3" s="264"/>
      <c r="F3" s="264"/>
      <c r="G3" s="265"/>
    </row>
    <row r="4" spans="1:4" ht="15.75" thickBot="1">
      <c r="A4"/>
      <c r="D4" s="82"/>
    </row>
    <row r="5" spans="2:7" ht="17.25" thickBot="1">
      <c r="B5" s="261" t="s">
        <v>18</v>
      </c>
      <c r="C5" s="262"/>
      <c r="D5" s="67"/>
      <c r="F5" s="259" t="s">
        <v>52</v>
      </c>
      <c r="G5" s="260"/>
    </row>
    <row r="6" spans="2:7" ht="16.5">
      <c r="B6" s="37" t="s">
        <v>6</v>
      </c>
      <c r="C6" s="182">
        <v>230</v>
      </c>
      <c r="D6" s="68"/>
      <c r="F6" s="23" t="s">
        <v>4</v>
      </c>
      <c r="G6" s="182">
        <v>210</v>
      </c>
    </row>
    <row r="7" spans="2:7" ht="17.25" thickBot="1">
      <c r="B7" s="38" t="s">
        <v>58</v>
      </c>
      <c r="C7" s="183">
        <v>4300</v>
      </c>
      <c r="D7" s="68"/>
      <c r="F7" s="24" t="s">
        <v>5</v>
      </c>
      <c r="G7" s="185">
        <v>180</v>
      </c>
    </row>
    <row r="8" spans="2:7" ht="16.5">
      <c r="B8" s="36"/>
      <c r="C8" s="35"/>
      <c r="D8" s="68"/>
      <c r="F8" s="25" t="s">
        <v>7</v>
      </c>
      <c r="G8" s="180">
        <f>heure_totale</f>
        <v>4454.0166673777</v>
      </c>
    </row>
    <row r="9" spans="4:7" ht="17.25" thickBot="1">
      <c r="D9" s="69"/>
      <c r="F9" s="26" t="s">
        <v>8</v>
      </c>
      <c r="G9" s="181">
        <f>heure_economie</f>
        <v>1934.0000003078271</v>
      </c>
    </row>
    <row r="10" ht="15.75" thickBot="1">
      <c r="D10" s="69"/>
    </row>
    <row r="11" spans="2:7" ht="16.5">
      <c r="B11" s="23" t="s">
        <v>9</v>
      </c>
      <c r="C11" s="87">
        <f>IF(Puissance_active=0,0,(tension_secteur*tension_secteur/(230*230/Puissance_active))*nbre_heure/1000)</f>
        <v>215430.00000000003</v>
      </c>
      <c r="D11" s="68"/>
      <c r="F11" s="23" t="s">
        <v>118</v>
      </c>
      <c r="G11" s="87">
        <f>IF(Puissance_active=0,0,((Tension_nominale*Tension_nominale/(230*230/Puissance_active)*(heure_totale-heure_economie))+(tension_eco*tension_eco/(230*230/Puissance_active)*(heure_economie)))/1000)</f>
        <v>164595.3910187245</v>
      </c>
    </row>
    <row r="12" spans="2:7" ht="15.75" thickBot="1">
      <c r="B12" s="88" t="s">
        <v>55</v>
      </c>
      <c r="C12" s="110">
        <f>Coût_kwh*conso_actuelle</f>
        <v>9504.771600000002</v>
      </c>
      <c r="D12" s="100"/>
      <c r="E12" s="99"/>
      <c r="F12" s="88" t="s">
        <v>55</v>
      </c>
      <c r="G12" s="110">
        <f>Coût_kwh*conso_lubio</f>
        <v>7261.9486517461255</v>
      </c>
    </row>
    <row r="13" ht="15.75" thickBot="1">
      <c r="D13" s="83"/>
    </row>
    <row r="14" spans="2:4" ht="17.25" thickBot="1">
      <c r="B14" s="28" t="s">
        <v>11</v>
      </c>
      <c r="C14" s="84">
        <f>IF(conso_actuelle=0,0,(conso_actuelle-conso_lubio)/conso_actuelle)</f>
        <v>0.23596810556225</v>
      </c>
      <c r="D14" s="83"/>
    </row>
    <row r="15" spans="2:4" ht="17.25" thickBot="1">
      <c r="B15" s="28" t="s">
        <v>12</v>
      </c>
      <c r="C15" s="184">
        <v>0.04412</v>
      </c>
      <c r="D15" s="83"/>
    </row>
    <row r="16" spans="2:4" ht="17.25" thickBot="1">
      <c r="B16" s="27" t="s">
        <v>13</v>
      </c>
      <c r="C16" s="85">
        <f>Coût_kwh*(conso_actuelle-conso_lubio)</f>
        <v>2242.822948253876</v>
      </c>
      <c r="D16" s="66"/>
    </row>
    <row r="17" ht="15">
      <c r="D17" s="83"/>
    </row>
    <row r="23" ht="15" hidden="1"/>
    <row r="24" ht="15" hidden="1"/>
    <row r="25" ht="15.75" hidden="1" thickBot="1"/>
    <row r="26" spans="2:7" ht="17.25" hidden="1" thickBot="1">
      <c r="B26" s="74" t="s">
        <v>95</v>
      </c>
      <c r="C26" s="127">
        <f>(tension_secteur*tension_secteur/(230*230/Puissance_active))/1000</f>
        <v>50.10000000000001</v>
      </c>
      <c r="F26" s="112" t="s">
        <v>73</v>
      </c>
      <c r="G26" s="111">
        <f>(Tension_nominale*Tension_nominale/(230*230/Puissance_active))/1000</f>
        <v>41.765784499054824</v>
      </c>
    </row>
    <row r="27" spans="6:7" ht="16.5" hidden="1">
      <c r="F27" s="112" t="s">
        <v>74</v>
      </c>
      <c r="G27" s="111">
        <f>(tension_eco*tension_eco/(230*230/Puissance_active))/1000</f>
        <v>30.685066162570887</v>
      </c>
    </row>
    <row r="28" ht="15" hidden="1"/>
    <row r="29" ht="15" hidden="1"/>
  </sheetData>
  <sheetProtection sheet="1" objects="1" scenarios="1"/>
  <mergeCells count="3">
    <mergeCell ref="F5:G5"/>
    <mergeCell ref="B5:C5"/>
    <mergeCell ref="B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&amp;L&amp;D&amp;C&amp;"Comic Sans MS,Normal"&amp;12Schneider Electric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3:G13"/>
  <sheetViews>
    <sheetView showGridLines="0" zoomScale="90" zoomScaleNormal="90" zoomScalePageLayoutView="0" workbookViewId="0" topLeftCell="A1">
      <selection activeCell="F12" sqref="F11:F12"/>
    </sheetView>
  </sheetViews>
  <sheetFormatPr defaultColWidth="11.421875" defaultRowHeight="12.75"/>
  <cols>
    <col min="2" max="2" width="48.421875" style="0" customWidth="1"/>
    <col min="3" max="3" width="12.7109375" style="0" customWidth="1"/>
    <col min="4" max="5" width="5.7109375" style="0" customWidth="1"/>
    <col min="6" max="6" width="46.7109375" style="0" customWidth="1"/>
    <col min="7" max="7" width="12.7109375" style="0" customWidth="1"/>
  </cols>
  <sheetData>
    <row r="1" ht="19.5" customHeight="1"/>
    <row r="2" ht="19.5" customHeight="1" thickBot="1"/>
    <row r="3" spans="2:7" s="2" customFormat="1" ht="32.25" thickBot="1">
      <c r="B3" s="263" t="s">
        <v>51</v>
      </c>
      <c r="C3" s="264"/>
      <c r="D3" s="264"/>
      <c r="E3" s="264"/>
      <c r="F3" s="264"/>
      <c r="G3" s="265"/>
    </row>
    <row r="4" spans="1:4" s="2" customFormat="1" ht="15.75" thickBot="1">
      <c r="A4"/>
      <c r="C4" s="29"/>
      <c r="D4" s="29"/>
    </row>
    <row r="5" spans="2:7" s="2" customFormat="1" ht="17.25" thickBot="1">
      <c r="B5" s="266" t="s">
        <v>18</v>
      </c>
      <c r="C5" s="267"/>
      <c r="D5" s="95"/>
      <c r="F5" s="266" t="s">
        <v>52</v>
      </c>
      <c r="G5" s="267"/>
    </row>
    <row r="6" spans="2:7" s="2" customFormat="1" ht="16.5">
      <c r="B6" s="37" t="s">
        <v>56</v>
      </c>
      <c r="C6" s="182">
        <v>4</v>
      </c>
      <c r="D6" s="96"/>
      <c r="F6" s="37" t="s">
        <v>56</v>
      </c>
      <c r="G6" s="182">
        <v>5</v>
      </c>
    </row>
    <row r="7" spans="2:7" s="2" customFormat="1" ht="17.25" thickBot="1">
      <c r="B7" s="38" t="s">
        <v>53</v>
      </c>
      <c r="C7" s="19">
        <f>lampes_L1+lampes_L2+lampes_L3</f>
        <v>300</v>
      </c>
      <c r="D7" s="96"/>
      <c r="F7" s="38" t="s">
        <v>53</v>
      </c>
      <c r="G7" s="19">
        <f>lampes_L1+lampes_L2+lampes_L3</f>
        <v>300</v>
      </c>
    </row>
    <row r="8" spans="2:7" s="2" customFormat="1" ht="16.5">
      <c r="B8" s="92"/>
      <c r="C8" s="64"/>
      <c r="D8" s="65"/>
      <c r="E8" s="71"/>
      <c r="F8" s="92"/>
      <c r="G8" s="64"/>
    </row>
    <row r="9" spans="3:4" s="2" customFormat="1" ht="15">
      <c r="C9" s="29"/>
      <c r="D9" s="29"/>
    </row>
    <row r="10" spans="2:4" s="2" customFormat="1" ht="16.5">
      <c r="B10" s="86" t="s">
        <v>54</v>
      </c>
      <c r="C10" s="93">
        <f>prix_lampes</f>
        <v>3795</v>
      </c>
      <c r="D10" s="29"/>
    </row>
    <row r="11" spans="2:4" s="2" customFormat="1" ht="16.5">
      <c r="B11" s="86" t="s">
        <v>72</v>
      </c>
      <c r="C11" s="192" t="s">
        <v>170</v>
      </c>
      <c r="D11" s="29"/>
    </row>
    <row r="12" spans="2:4" s="2" customFormat="1" ht="16.5">
      <c r="B12" s="86" t="s">
        <v>99</v>
      </c>
      <c r="C12" s="193" t="s">
        <v>171</v>
      </c>
      <c r="D12" s="29"/>
    </row>
    <row r="13" spans="2:4" s="2" customFormat="1" ht="16.5">
      <c r="B13" s="78" t="s">
        <v>13</v>
      </c>
      <c r="C13" s="94">
        <f>(C10+Nombre_de_lampes*main_oeuvre)/C12</f>
        <v>941.25</v>
      </c>
      <c r="D13" s="29"/>
    </row>
  </sheetData>
  <sheetProtection/>
  <mergeCells count="3">
    <mergeCell ref="B5:C5"/>
    <mergeCell ref="F5:G5"/>
    <mergeCell ref="B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2"/>
  <headerFooter alignWithMargins="0">
    <oddFooter>&amp;L&amp;D&amp;C&amp;"Comic Sans MS,Normal"&amp;12Schneider Electric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W29"/>
  <sheetViews>
    <sheetView showGridLines="0" zoomScalePageLayoutView="0" workbookViewId="0" topLeftCell="A1">
      <selection activeCell="H17" sqref="H17"/>
    </sheetView>
  </sheetViews>
  <sheetFormatPr defaultColWidth="11.421875" defaultRowHeight="12.75"/>
  <cols>
    <col min="1" max="1" width="17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8" width="11.8515625" style="0" bestFit="1" customWidth="1"/>
    <col min="9" max="9" width="13.140625" style="0" customWidth="1"/>
    <col min="10" max="10" width="0.85546875" style="0" customWidth="1"/>
    <col min="11" max="11" width="12.8515625" style="0" customWidth="1"/>
    <col min="12" max="12" width="0.85546875" style="0" customWidth="1"/>
    <col min="13" max="13" width="15.140625" style="0" customWidth="1"/>
    <col min="15" max="17" width="0" style="0" hidden="1" customWidth="1"/>
    <col min="18" max="18" width="15.7109375" style="0" hidden="1" customWidth="1"/>
    <col min="19" max="20" width="14.57421875" style="0" hidden="1" customWidth="1"/>
    <col min="21" max="25" width="0" style="0" hidden="1" customWidth="1"/>
  </cols>
  <sheetData>
    <row r="1" ht="51.75" customHeight="1"/>
    <row r="2" ht="18" customHeight="1">
      <c r="J2" s="107"/>
    </row>
    <row r="3" spans="7:20" ht="12.75" customHeight="1">
      <c r="G3" s="268" t="s">
        <v>151</v>
      </c>
      <c r="H3" s="268"/>
      <c r="I3" s="268"/>
      <c r="J3" s="106"/>
      <c r="P3" s="268" t="s">
        <v>68</v>
      </c>
      <c r="Q3" s="268"/>
      <c r="R3" s="268"/>
      <c r="S3" s="268" t="s">
        <v>148</v>
      </c>
      <c r="T3" s="268"/>
    </row>
    <row r="4" spans="1:22" ht="12.75">
      <c r="A4" s="103" t="s">
        <v>149</v>
      </c>
      <c r="B4" s="107"/>
      <c r="C4" s="105" t="s">
        <v>152</v>
      </c>
      <c r="D4" s="107"/>
      <c r="E4" s="105" t="s">
        <v>150</v>
      </c>
      <c r="F4" s="107"/>
      <c r="G4" s="224" t="s">
        <v>59</v>
      </c>
      <c r="H4" s="224" t="s">
        <v>60</v>
      </c>
      <c r="I4" s="224" t="s">
        <v>61</v>
      </c>
      <c r="J4" s="107"/>
      <c r="K4" s="105" t="s">
        <v>155</v>
      </c>
      <c r="L4" s="107"/>
      <c r="M4" s="105" t="s">
        <v>57</v>
      </c>
      <c r="O4" s="103" t="s">
        <v>62</v>
      </c>
      <c r="P4" s="103" t="s">
        <v>59</v>
      </c>
      <c r="Q4" s="103" t="s">
        <v>60</v>
      </c>
      <c r="R4" s="103" t="s">
        <v>61</v>
      </c>
      <c r="S4" s="105" t="s">
        <v>153</v>
      </c>
      <c r="T4" s="105" t="s">
        <v>154</v>
      </c>
      <c r="V4" s="105" t="s">
        <v>150</v>
      </c>
    </row>
    <row r="5" spans="1:23" ht="15">
      <c r="A5" s="231">
        <v>3</v>
      </c>
      <c r="B5" s="42"/>
      <c r="C5" s="194">
        <v>1</v>
      </c>
      <c r="D5" s="195"/>
      <c r="E5" s="194" t="s">
        <v>64</v>
      </c>
      <c r="F5" s="107"/>
      <c r="G5" s="225">
        <f>IF($A5="","",VLOOKUP($A5,prix_lubio,2))</f>
        <v>1</v>
      </c>
      <c r="H5" s="225">
        <f>IF($A5="","",VLOOKUP($A5,prix_lubio,3))</f>
        <v>0</v>
      </c>
      <c r="I5" s="225">
        <f>IF($A5="","",VLOOKUP($A5,prix_lubio,4))</f>
        <v>0</v>
      </c>
      <c r="J5" s="106"/>
      <c r="K5" s="108">
        <f>IF(A5="","",IF(E5="","",IF(E5=$V$5,VLOOKUP(A5,prix_lubio,5),IF(E5=$V$6,VLOOKUP(A5,prix_lubio,6)))))</f>
        <v>1683.68</v>
      </c>
      <c r="L5" s="106"/>
      <c r="M5" s="108">
        <f>IF(A5="","",K5*C5)</f>
        <v>1683.68</v>
      </c>
      <c r="O5" s="105"/>
      <c r="P5" s="103"/>
      <c r="Q5" s="103"/>
      <c r="R5" s="103"/>
      <c r="S5" s="105"/>
      <c r="T5" s="105"/>
      <c r="V5" s="226" t="s">
        <v>63</v>
      </c>
      <c r="W5" s="227">
        <f>IF(E5=V5,1,IF(E5=V6,2,""))</f>
        <v>2</v>
      </c>
    </row>
    <row r="6" spans="1:22" ht="15">
      <c r="A6" s="231"/>
      <c r="B6" s="42"/>
      <c r="C6" s="194"/>
      <c r="D6" s="195"/>
      <c r="E6" s="194" t="s">
        <v>63</v>
      </c>
      <c r="F6" s="107"/>
      <c r="G6" s="225">
        <f aca="true" t="shared" si="0" ref="G6:G11">IF($A6="","",VLOOKUP($A6,prix_lubio,2))</f>
      </c>
      <c r="H6" s="225">
        <f aca="true" t="shared" si="1" ref="H6:H11">IF($A6="","",VLOOKUP($A6,prix_lubio,3))</f>
      </c>
      <c r="I6" s="225">
        <f aca="true" t="shared" si="2" ref="I6:I11">IF($A6="","",VLOOKUP($A6,prix_lubio,4))</f>
      </c>
      <c r="J6" s="106"/>
      <c r="K6" s="108">
        <f aca="true" t="shared" si="3" ref="K6:K11">IF(A6="","",IF(E6="","",IF(E6=$V$5,VLOOKUP(A6,prix_lubio,5),IF(E6=$V$6,VLOOKUP(A6,prix_lubio,6)))))</f>
      </c>
      <c r="L6" s="106"/>
      <c r="M6" s="108">
        <f aca="true" t="shared" si="4" ref="M6:M11">IF(A6="","",K6*C6)</f>
      </c>
      <c r="O6" s="105">
        <v>3</v>
      </c>
      <c r="P6" s="105">
        <v>1</v>
      </c>
      <c r="Q6" s="105"/>
      <c r="R6" s="105"/>
      <c r="S6" s="105">
        <f>P6*Maître_3_kVA_VRI_coeff+Lubio!Q6*Maître_6_kVA_VRI_coeff+Lubio!R6*Esclave_6_kVA_coeff</f>
        <v>2180.59</v>
      </c>
      <c r="T6" s="105">
        <f>P6*Maître_3_kVA_VR_coeff+Lubio!Q6*Maître_6_kVA_VR_coeff+Lubio!R6*Esclave_6_kVA_coeff</f>
        <v>1683.68</v>
      </c>
      <c r="V6" s="226" t="s">
        <v>64</v>
      </c>
    </row>
    <row r="7" spans="1:20" ht="15">
      <c r="A7" s="231"/>
      <c r="B7" s="42"/>
      <c r="C7" s="194"/>
      <c r="D7" s="195"/>
      <c r="E7" s="194" t="s">
        <v>63</v>
      </c>
      <c r="F7" s="107"/>
      <c r="G7" s="225">
        <f t="shared" si="0"/>
      </c>
      <c r="H7" s="225">
        <f t="shared" si="1"/>
      </c>
      <c r="I7" s="225">
        <f t="shared" si="2"/>
      </c>
      <c r="J7" s="106"/>
      <c r="K7" s="108">
        <f t="shared" si="3"/>
      </c>
      <c r="L7" s="106"/>
      <c r="M7" s="108">
        <f t="shared" si="4"/>
      </c>
      <c r="O7" s="105">
        <v>6</v>
      </c>
      <c r="P7" s="105"/>
      <c r="Q7" s="105">
        <v>1</v>
      </c>
      <c r="R7" s="105"/>
      <c r="S7" s="105">
        <f>P7*Maître_3_kVA_VRI_coeff+Lubio!Q7*Maître_6_kVA_VRI_coeff+Lubio!R7*Esclave_6_kVA_coeff</f>
        <v>2888.94</v>
      </c>
      <c r="T7" s="105">
        <f>P7*Maître_3_kVA_VR_coeff+Lubio!Q7*Maître_6_kVA_VR_coeff+Lubio!R7*Esclave_6_kVA_coeff</f>
        <v>2392.05</v>
      </c>
    </row>
    <row r="8" spans="1:20" ht="15">
      <c r="A8" s="231"/>
      <c r="B8" s="42"/>
      <c r="C8" s="194"/>
      <c r="D8" s="195"/>
      <c r="E8" s="194" t="s">
        <v>63</v>
      </c>
      <c r="F8" s="107"/>
      <c r="G8" s="225">
        <f t="shared" si="0"/>
      </c>
      <c r="H8" s="225">
        <f t="shared" si="1"/>
      </c>
      <c r="I8" s="225">
        <f t="shared" si="2"/>
      </c>
      <c r="J8" s="106"/>
      <c r="K8" s="108">
        <f t="shared" si="3"/>
      </c>
      <c r="L8" s="106"/>
      <c r="M8" s="108">
        <f t="shared" si="4"/>
      </c>
      <c r="O8" s="105">
        <v>9</v>
      </c>
      <c r="P8" s="105">
        <v>1</v>
      </c>
      <c r="Q8" s="105"/>
      <c r="R8" s="105">
        <v>1</v>
      </c>
      <c r="S8" s="105">
        <f>P8*Maître_3_kVA_VRI_coeff+Lubio!Q8*Maître_6_kVA_VRI_coeff+Lubio!R8*Esclave_6_kVA_coeff</f>
        <v>3705.95</v>
      </c>
      <c r="T8" s="105">
        <f>P8*Maître_3_kVA_VR_coeff+Lubio!Q8*Maître_6_kVA_VR_coeff+Lubio!R8*Esclave_6_kVA_coeff</f>
        <v>3209.04</v>
      </c>
    </row>
    <row r="9" spans="1:20" ht="15">
      <c r="A9" s="231"/>
      <c r="B9" s="42"/>
      <c r="C9" s="194"/>
      <c r="D9" s="195"/>
      <c r="E9" s="194" t="s">
        <v>63</v>
      </c>
      <c r="F9" s="107"/>
      <c r="G9" s="225">
        <f t="shared" si="0"/>
      </c>
      <c r="H9" s="225">
        <f t="shared" si="1"/>
      </c>
      <c r="I9" s="225">
        <f t="shared" si="2"/>
      </c>
      <c r="J9" s="106"/>
      <c r="K9" s="108">
        <f t="shared" si="3"/>
      </c>
      <c r="L9" s="106"/>
      <c r="M9" s="108">
        <f t="shared" si="4"/>
      </c>
      <c r="O9" s="105">
        <v>12</v>
      </c>
      <c r="P9" s="105"/>
      <c r="Q9" s="105">
        <v>1</v>
      </c>
      <c r="R9" s="105">
        <v>1</v>
      </c>
      <c r="S9" s="105">
        <f>P9*Maître_3_kVA_VRI_coeff+Lubio!Q9*Maître_6_kVA_VRI_coeff+Lubio!R9*Esclave_6_kVA_coeff</f>
        <v>4414.3</v>
      </c>
      <c r="T9" s="105">
        <f>P9*Maître_3_kVA_VR_coeff+Lubio!Q9*Maître_6_kVA_VR_coeff+Lubio!R9*Esclave_6_kVA_coeff</f>
        <v>3917.41</v>
      </c>
    </row>
    <row r="10" spans="1:20" ht="15">
      <c r="A10" s="231"/>
      <c r="B10" s="42"/>
      <c r="C10" s="194"/>
      <c r="D10" s="195"/>
      <c r="E10" s="194" t="s">
        <v>63</v>
      </c>
      <c r="F10" s="107"/>
      <c r="G10" s="225">
        <f t="shared" si="0"/>
      </c>
      <c r="H10" s="225">
        <f t="shared" si="1"/>
      </c>
      <c r="I10" s="225">
        <f t="shared" si="2"/>
      </c>
      <c r="J10" s="106"/>
      <c r="K10" s="108">
        <f t="shared" si="3"/>
      </c>
      <c r="L10" s="106"/>
      <c r="M10" s="108">
        <f t="shared" si="4"/>
      </c>
      <c r="O10" s="105">
        <v>15</v>
      </c>
      <c r="P10" s="105">
        <v>1</v>
      </c>
      <c r="Q10" s="105">
        <v>0</v>
      </c>
      <c r="R10" s="105">
        <v>2</v>
      </c>
      <c r="S10" s="105">
        <f>P10*Maître_3_kVA_VRI_coeff+Lubio!Q10*Maître_6_kVA_VRI_coeff+Lubio!R10*Esclave_6_kVA_coeff</f>
        <v>5231.3099999999995</v>
      </c>
      <c r="T10" s="105">
        <f>P10*Maître_3_kVA_VR_coeff+Lubio!Q10*Maître_6_kVA_VR_coeff+Lubio!R10*Esclave_6_kVA_coeff</f>
        <v>4734.4</v>
      </c>
    </row>
    <row r="11" spans="1:20" ht="15">
      <c r="A11" s="231"/>
      <c r="B11" s="42"/>
      <c r="C11" s="194"/>
      <c r="D11" s="195"/>
      <c r="E11" s="194" t="s">
        <v>63</v>
      </c>
      <c r="F11" s="107"/>
      <c r="G11" s="225">
        <f t="shared" si="0"/>
      </c>
      <c r="H11" s="225">
        <f t="shared" si="1"/>
      </c>
      <c r="I11" s="225">
        <f t="shared" si="2"/>
      </c>
      <c r="J11" s="106"/>
      <c r="K11" s="108">
        <f t="shared" si="3"/>
      </c>
      <c r="L11" s="106"/>
      <c r="M11" s="108">
        <f t="shared" si="4"/>
      </c>
      <c r="O11" s="105">
        <v>18</v>
      </c>
      <c r="P11" s="105"/>
      <c r="Q11" s="105">
        <v>1</v>
      </c>
      <c r="R11" s="105">
        <v>2</v>
      </c>
      <c r="S11" s="105">
        <f>P11*Maître_3_kVA_VRI_coeff+Lubio!Q11*Maître_6_kVA_VRI_coeff+Lubio!R11*Esclave_6_kVA_coeff</f>
        <v>5939.66</v>
      </c>
      <c r="T11" s="105">
        <f>P11*Maître_3_kVA_VR_coeff+Lubio!Q11*Maître_6_kVA_VR_coeff+Lubio!R11*Esclave_6_kVA_coeff</f>
        <v>5442.77</v>
      </c>
    </row>
    <row r="12" spans="9:20" ht="12.75">
      <c r="I12" s="119"/>
      <c r="J12" s="42"/>
      <c r="K12" s="228"/>
      <c r="L12" s="42"/>
      <c r="M12" s="228"/>
      <c r="O12" s="105">
        <v>21</v>
      </c>
      <c r="P12" s="105">
        <v>1</v>
      </c>
      <c r="Q12" s="105">
        <v>1</v>
      </c>
      <c r="R12" s="105">
        <v>2</v>
      </c>
      <c r="S12" s="105">
        <f>P12*Maître_3_kVA_VRI_coeff+Lubio!Q12*Maître_6_kVA_VRI_coeff+Lubio!R12*Esclave_6_kVA_coeff</f>
        <v>8120.25</v>
      </c>
      <c r="T12" s="105">
        <f>P12*Maître_3_kVA_VR_coeff+Lubio!Q12*Maître_6_kVA_VR_coeff+Lubio!R12*Esclave_6_kVA_coeff</f>
        <v>7126.450000000001</v>
      </c>
    </row>
    <row r="13" spans="1:20" ht="12.75">
      <c r="A13" s="269" t="s">
        <v>44</v>
      </c>
      <c r="B13" s="270"/>
      <c r="C13" s="271">
        <f>SUM(M5:M11)</f>
        <v>1683.68</v>
      </c>
      <c r="D13" s="271"/>
      <c r="E13" s="271"/>
      <c r="O13" s="105">
        <v>24</v>
      </c>
      <c r="P13" s="105"/>
      <c r="Q13" s="105">
        <v>2</v>
      </c>
      <c r="R13" s="105">
        <v>2</v>
      </c>
      <c r="S13" s="105">
        <f>P13*Maître_3_kVA_VRI_coeff+Lubio!Q13*Maître_6_kVA_VRI_coeff+Lubio!R13*Esclave_6_kVA_coeff</f>
        <v>8828.6</v>
      </c>
      <c r="T13" s="105">
        <f>P13*Maître_3_kVA_VR_coeff+Lubio!Q13*Maître_6_kVA_VR_coeff+Lubio!R13*Esclave_6_kVA_coeff</f>
        <v>7834.82</v>
      </c>
    </row>
    <row r="14" spans="15:20" ht="12.75">
      <c r="O14" s="105">
        <v>27</v>
      </c>
      <c r="P14" s="105">
        <v>1</v>
      </c>
      <c r="Q14" s="105">
        <v>1</v>
      </c>
      <c r="R14" s="105">
        <v>3</v>
      </c>
      <c r="S14" s="105">
        <f>P14*Maître_3_kVA_VRI_coeff+Lubio!Q14*Maître_6_kVA_VRI_coeff+Lubio!R14*Esclave_6_kVA_coeff</f>
        <v>9645.61</v>
      </c>
      <c r="T14" s="105">
        <f>P14*Maître_3_kVA_VR_coeff+Lubio!Q14*Maître_6_kVA_VR_coeff+Lubio!R14*Esclave_6_kVA_coeff</f>
        <v>8651.810000000001</v>
      </c>
    </row>
    <row r="15" spans="15:20" ht="12.75">
      <c r="O15" s="105">
        <v>30</v>
      </c>
      <c r="P15" s="105"/>
      <c r="Q15" s="105">
        <v>2</v>
      </c>
      <c r="R15" s="105">
        <v>3</v>
      </c>
      <c r="S15" s="105">
        <f>P15*Maître_3_kVA_VRI_coeff+Lubio!Q15*Maître_6_kVA_VRI_coeff+Lubio!R15*Esclave_6_kVA_coeff</f>
        <v>10353.96</v>
      </c>
      <c r="T15" s="105">
        <f>P15*Maître_3_kVA_VR_coeff+Lubio!Q15*Maître_6_kVA_VR_coeff+Lubio!R15*Esclave_6_kVA_coeff</f>
        <v>9360.18</v>
      </c>
    </row>
    <row r="16" spans="15:20" ht="12.75">
      <c r="O16" s="105">
        <v>33</v>
      </c>
      <c r="P16" s="105">
        <v>1</v>
      </c>
      <c r="Q16" s="105">
        <v>1</v>
      </c>
      <c r="R16" s="105">
        <v>4</v>
      </c>
      <c r="S16" s="105">
        <f>P16*Maître_3_kVA_VRI_coeff+Lubio!Q16*Maître_6_kVA_VRI_coeff+Lubio!R16*Esclave_6_kVA_coeff</f>
        <v>11170.970000000001</v>
      </c>
      <c r="T16" s="105">
        <f>P16*Maître_3_kVA_VR_coeff+Lubio!Q16*Maître_6_kVA_VR_coeff+Lubio!R16*Esclave_6_kVA_coeff</f>
        <v>10177.17</v>
      </c>
    </row>
    <row r="17" spans="15:20" ht="12.75">
      <c r="O17" s="105">
        <v>36</v>
      </c>
      <c r="P17" s="105"/>
      <c r="Q17" s="105">
        <v>2</v>
      </c>
      <c r="R17" s="105">
        <v>4</v>
      </c>
      <c r="S17" s="105">
        <f>P17*Maître_3_kVA_VRI_coeff+Lubio!Q17*Maître_6_kVA_VRI_coeff+Lubio!R17*Esclave_6_kVA_coeff</f>
        <v>11879.32</v>
      </c>
      <c r="T17" s="105">
        <f>P17*Maître_3_kVA_VR_coeff+Lubio!Q17*Maître_6_kVA_VR_coeff+Lubio!R17*Esclave_6_kVA_coeff</f>
        <v>10885.54</v>
      </c>
    </row>
    <row r="18" spans="15:20" ht="12.75">
      <c r="O18" s="105">
        <v>39</v>
      </c>
      <c r="P18" s="105">
        <v>1</v>
      </c>
      <c r="Q18" s="105">
        <v>2</v>
      </c>
      <c r="R18" s="105">
        <v>4</v>
      </c>
      <c r="S18" s="105">
        <f>P18*Maître_3_kVA_VRI_coeff+Lubio!Q18*Maître_6_kVA_VRI_coeff+Lubio!R18*Esclave_6_kVA_coeff</f>
        <v>14059.91</v>
      </c>
      <c r="T18" s="105">
        <f>P18*Maître_3_kVA_VR_coeff+Lubio!Q18*Maître_6_kVA_VR_coeff+Lubio!R18*Esclave_6_kVA_coeff</f>
        <v>12569.220000000001</v>
      </c>
    </row>
    <row r="19" spans="15:20" ht="12.75">
      <c r="O19" s="105">
        <v>42</v>
      </c>
      <c r="P19" s="105"/>
      <c r="Q19" s="105">
        <v>3</v>
      </c>
      <c r="R19" s="105">
        <v>4</v>
      </c>
      <c r="S19" s="105">
        <f>P19*Maître_3_kVA_VRI_coeff+Lubio!Q19*Maître_6_kVA_VRI_coeff+Lubio!R19*Esclave_6_kVA_coeff</f>
        <v>14768.259999999998</v>
      </c>
      <c r="T19" s="105">
        <f>P19*Maître_3_kVA_VR_coeff+Lubio!Q19*Maître_6_kVA_VR_coeff+Lubio!R19*Esclave_6_kVA_coeff</f>
        <v>13277.59</v>
      </c>
    </row>
    <row r="20" spans="15:20" ht="12.75">
      <c r="O20" s="105">
        <v>45</v>
      </c>
      <c r="P20" s="105">
        <v>1</v>
      </c>
      <c r="Q20" s="105">
        <v>2</v>
      </c>
      <c r="R20" s="105">
        <v>5</v>
      </c>
      <c r="S20" s="105">
        <f>P20*Maître_3_kVA_VRI_coeff+Lubio!Q20*Maître_6_kVA_VRI_coeff+Lubio!R20*Esclave_6_kVA_coeff</f>
        <v>15585.27</v>
      </c>
      <c r="T20" s="105">
        <f>P20*Maître_3_kVA_VR_coeff+Lubio!Q20*Maître_6_kVA_VR_coeff+Lubio!R20*Esclave_6_kVA_coeff</f>
        <v>14094.58</v>
      </c>
    </row>
    <row r="21" spans="15:20" ht="12.75">
      <c r="O21" s="105">
        <v>48</v>
      </c>
      <c r="P21" s="105"/>
      <c r="Q21" s="105">
        <v>3</v>
      </c>
      <c r="R21" s="105">
        <v>5</v>
      </c>
      <c r="S21" s="105">
        <f>P21*Maître_3_kVA_VRI_coeff+Lubio!Q21*Maître_6_kVA_VRI_coeff+Lubio!R21*Esclave_6_kVA_coeff</f>
        <v>16293.619999999999</v>
      </c>
      <c r="T21" s="105">
        <f>P21*Maître_3_kVA_VR_coeff+Lubio!Q21*Maître_6_kVA_VR_coeff+Lubio!R21*Esclave_6_kVA_coeff</f>
        <v>14802.95</v>
      </c>
    </row>
    <row r="22" spans="15:20" ht="12.75">
      <c r="O22" s="105">
        <v>51</v>
      </c>
      <c r="P22" s="105">
        <v>1</v>
      </c>
      <c r="Q22" s="105">
        <v>2</v>
      </c>
      <c r="R22" s="105">
        <v>6</v>
      </c>
      <c r="S22" s="105">
        <f>P22*Maître_3_kVA_VRI_coeff+Lubio!Q22*Maître_6_kVA_VRI_coeff+Lubio!R22*Esclave_6_kVA_coeff</f>
        <v>17110.63</v>
      </c>
      <c r="T22" s="105">
        <f>P22*Maître_3_kVA_VR_coeff+Lubio!Q22*Maître_6_kVA_VR_coeff+Lubio!R22*Esclave_6_kVA_coeff</f>
        <v>15619.94</v>
      </c>
    </row>
    <row r="23" spans="15:20" ht="12.75">
      <c r="O23" s="105">
        <v>54</v>
      </c>
      <c r="P23" s="105"/>
      <c r="Q23" s="105">
        <v>3</v>
      </c>
      <c r="R23" s="105">
        <v>6</v>
      </c>
      <c r="S23" s="105">
        <f>P23*Maître_3_kVA_VRI_coeff+Lubio!Q23*Maître_6_kVA_VRI_coeff+Lubio!R23*Esclave_6_kVA_coeff</f>
        <v>17818.98</v>
      </c>
      <c r="T23" s="105">
        <f>P23*Maître_3_kVA_VR_coeff+Lubio!Q23*Maître_6_kVA_VR_coeff+Lubio!R23*Esclave_6_kVA_coeff</f>
        <v>16328.310000000001</v>
      </c>
    </row>
    <row r="24" spans="15:20" ht="12.75">
      <c r="O24" s="105">
        <v>57</v>
      </c>
      <c r="P24" s="105">
        <v>1</v>
      </c>
      <c r="Q24" s="105">
        <v>3</v>
      </c>
      <c r="R24" s="105">
        <v>6</v>
      </c>
      <c r="S24" s="105">
        <f>P24*Maître_3_kVA_VRI_coeff+Lubio!Q24*Maître_6_kVA_VRI_coeff+Lubio!R24*Esclave_6_kVA_coeff</f>
        <v>19999.57</v>
      </c>
      <c r="T24" s="105">
        <f>P24*Maître_3_kVA_VR_coeff+Lubio!Q24*Maître_6_kVA_VR_coeff+Lubio!R24*Esclave_6_kVA_coeff</f>
        <v>18011.989999999998</v>
      </c>
    </row>
    <row r="25" spans="15:20" ht="12.75">
      <c r="O25" s="105">
        <v>60</v>
      </c>
      <c r="P25" s="105"/>
      <c r="Q25" s="105">
        <v>4</v>
      </c>
      <c r="R25" s="105">
        <v>6</v>
      </c>
      <c r="S25" s="105">
        <f>P25*Maître_3_kVA_VRI_coeff+Lubio!Q25*Maître_6_kVA_VRI_coeff+Lubio!R25*Esclave_6_kVA_coeff</f>
        <v>20707.92</v>
      </c>
      <c r="T25" s="105">
        <f>P25*Maître_3_kVA_VR_coeff+Lubio!Q25*Maître_6_kVA_VR_coeff+Lubio!R25*Esclave_6_kVA_coeff</f>
        <v>18720.36</v>
      </c>
    </row>
    <row r="26" spans="15:20" ht="12.75">
      <c r="O26" s="105">
        <v>63</v>
      </c>
      <c r="P26" s="105">
        <v>1</v>
      </c>
      <c r="Q26" s="105">
        <v>3</v>
      </c>
      <c r="R26" s="105">
        <v>7</v>
      </c>
      <c r="S26" s="105">
        <f>P26*Maître_3_kVA_VRI_coeff+Lubio!Q26*Maître_6_kVA_VRI_coeff+Lubio!R26*Esclave_6_kVA_coeff</f>
        <v>21524.93</v>
      </c>
      <c r="T26" s="105">
        <f>P26*Maître_3_kVA_VR_coeff+Lubio!Q26*Maître_6_kVA_VR_coeff+Lubio!R26*Esclave_6_kVA_coeff</f>
        <v>19537.35</v>
      </c>
    </row>
    <row r="27" spans="15:20" ht="12.75">
      <c r="O27" s="105">
        <v>66</v>
      </c>
      <c r="P27" s="105"/>
      <c r="Q27" s="105">
        <v>4</v>
      </c>
      <c r="R27" s="105">
        <v>7</v>
      </c>
      <c r="S27" s="105">
        <f>P27*Maître_3_kVA_VRI_coeff+Lubio!Q27*Maître_6_kVA_VRI_coeff+Lubio!R27*Esclave_6_kVA_coeff</f>
        <v>22233.28</v>
      </c>
      <c r="T27" s="105">
        <f>P27*Maître_3_kVA_VR_coeff+Lubio!Q27*Maître_6_kVA_VR_coeff+Lubio!R27*Esclave_6_kVA_coeff</f>
        <v>20245.72</v>
      </c>
    </row>
    <row r="28" spans="15:20" ht="12.75">
      <c r="O28" s="105">
        <v>69</v>
      </c>
      <c r="P28" s="105">
        <v>1</v>
      </c>
      <c r="Q28" s="105">
        <v>3</v>
      </c>
      <c r="R28" s="105">
        <v>7</v>
      </c>
      <c r="S28" s="105">
        <f>P28*Maître_3_kVA_VRI_coeff+Lubio!Q28*Maître_6_kVA_VRI_coeff+Lubio!R28*Esclave_6_kVA_coeff</f>
        <v>21524.93</v>
      </c>
      <c r="T28" s="105">
        <f>P28*Maître_3_kVA_VR_coeff+Lubio!Q28*Maître_6_kVA_VR_coeff+Lubio!R28*Esclave_6_kVA_coeff</f>
        <v>19537.35</v>
      </c>
    </row>
    <row r="29" spans="15:20" ht="12.75">
      <c r="O29" s="105">
        <v>72</v>
      </c>
      <c r="P29" s="105"/>
      <c r="Q29" s="105">
        <v>4</v>
      </c>
      <c r="R29" s="105">
        <v>8</v>
      </c>
      <c r="S29" s="105">
        <f>P29*Maître_3_kVA_VRI_coeff+Lubio!Q29*Maître_6_kVA_VRI_coeff+Lubio!R29*Esclave_6_kVA_coeff</f>
        <v>23758.64</v>
      </c>
      <c r="T29" s="105"/>
    </row>
  </sheetData>
  <sheetProtection/>
  <mergeCells count="5">
    <mergeCell ref="S3:T3"/>
    <mergeCell ref="P3:R3"/>
    <mergeCell ref="G3:I3"/>
    <mergeCell ref="A13:B13"/>
    <mergeCell ref="C13:E13"/>
  </mergeCells>
  <dataValidations count="2">
    <dataValidation type="list" allowBlank="1" showInputMessage="1" showErrorMessage="1" sqref="A5:A11">
      <formula1>$O$6:$O$29</formula1>
    </dataValidation>
    <dataValidation type="list" allowBlank="1" showInputMessage="1" showErrorMessage="1" sqref="E5:E11">
      <formula1>$V$5:$V$6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&amp;L&amp;D&amp;C&amp;"Comic Sans MS,Normal"&amp;12Schneider Electric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H13"/>
  <sheetViews>
    <sheetView showGridLines="0" showRowColHeaders="0" zoomScalePageLayoutView="0" workbookViewId="0" topLeftCell="A1">
      <selection activeCell="D15" sqref="D15"/>
    </sheetView>
  </sheetViews>
  <sheetFormatPr defaultColWidth="11.421875" defaultRowHeight="12.75"/>
  <cols>
    <col min="1" max="1" width="15.28125" style="0" customWidth="1"/>
  </cols>
  <sheetData>
    <row r="1" spans="2:3" ht="12.75">
      <c r="B1" s="269" t="s">
        <v>541</v>
      </c>
      <c r="C1" s="272"/>
    </row>
    <row r="2" spans="2:3" ht="12.75">
      <c r="B2" s="102" t="s">
        <v>63</v>
      </c>
      <c r="C2" s="102" t="s">
        <v>64</v>
      </c>
    </row>
    <row r="3" spans="1:8" ht="12.75">
      <c r="A3" s="103" t="s">
        <v>65</v>
      </c>
      <c r="B3" s="101">
        <f>2888.94*(1+H3)</f>
        <v>2888.94</v>
      </c>
      <c r="C3" s="101">
        <f>2392.05*(1+H3)</f>
        <v>2392.05</v>
      </c>
      <c r="E3" s="268" t="s">
        <v>543</v>
      </c>
      <c r="F3" s="268"/>
      <c r="G3" s="268"/>
      <c r="H3" s="235">
        <v>0</v>
      </c>
    </row>
    <row r="4" spans="1:3" ht="12.75">
      <c r="A4" s="103" t="s">
        <v>66</v>
      </c>
      <c r="B4" s="101">
        <f>1525.36*(1+H3)</f>
        <v>1525.36</v>
      </c>
      <c r="C4" s="101"/>
    </row>
    <row r="5" spans="1:3" ht="12.75">
      <c r="A5" s="103" t="s">
        <v>67</v>
      </c>
      <c r="B5" s="101">
        <f>2180.59*(1+H3)</f>
        <v>2180.59</v>
      </c>
      <c r="C5" s="101">
        <f>1683.68*(1+H3)</f>
        <v>1683.68</v>
      </c>
    </row>
    <row r="7" spans="1:2" ht="12.75">
      <c r="A7" s="103" t="s">
        <v>542</v>
      </c>
      <c r="B7" s="194" t="s">
        <v>544</v>
      </c>
    </row>
    <row r="9" spans="2:3" ht="12.75">
      <c r="B9" s="268" t="s">
        <v>102</v>
      </c>
      <c r="C9" s="268"/>
    </row>
    <row r="10" spans="2:3" ht="12.75">
      <c r="B10" s="102" t="s">
        <v>63</v>
      </c>
      <c r="C10" s="102" t="s">
        <v>64</v>
      </c>
    </row>
    <row r="11" spans="1:3" ht="12.75">
      <c r="A11" s="103" t="s">
        <v>65</v>
      </c>
      <c r="B11" s="101">
        <f>Maître_6_kVA_VRI*coeff</f>
        <v>2888.94</v>
      </c>
      <c r="C11" s="101">
        <f>Maître_6_kVA_VR*coeff</f>
        <v>2392.05</v>
      </c>
    </row>
    <row r="12" spans="1:3" ht="12.75">
      <c r="A12" s="103" t="s">
        <v>66</v>
      </c>
      <c r="B12" s="101">
        <f>Esclave_6_kVA*coeff</f>
        <v>1525.36</v>
      </c>
      <c r="C12" s="101"/>
    </row>
    <row r="13" spans="1:3" ht="12.75">
      <c r="A13" s="103" t="s">
        <v>67</v>
      </c>
      <c r="B13" s="101">
        <f>Maître_3_kVA_VRI*coeff</f>
        <v>2180.59</v>
      </c>
      <c r="C13" s="101">
        <f>Maître_3_kVA_VR*coeff</f>
        <v>1683.68</v>
      </c>
    </row>
  </sheetData>
  <sheetProtection sheet="1" objects="1" scenarios="1"/>
  <mergeCells count="3">
    <mergeCell ref="B1:C1"/>
    <mergeCell ref="B9:C9"/>
    <mergeCell ref="E3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W4291"/>
  <sheetViews>
    <sheetView zoomScale="75" zoomScaleNormal="75" zoomScalePageLayoutView="0" workbookViewId="0" topLeftCell="A360">
      <selection activeCell="O386" sqref="O386"/>
    </sheetView>
  </sheetViews>
  <sheetFormatPr defaultColWidth="11.421875" defaultRowHeight="12.75"/>
  <cols>
    <col min="1" max="1" width="21.28125" style="0" customWidth="1"/>
    <col min="2" max="2" width="15.28125" style="0" hidden="1" customWidth="1"/>
    <col min="3" max="3" width="16.7109375" style="0" hidden="1" customWidth="1"/>
    <col min="4" max="4" width="13.57421875" style="0" hidden="1" customWidth="1"/>
    <col min="5" max="5" width="11.140625" style="0" hidden="1" customWidth="1"/>
    <col min="6" max="6" width="13.140625" style="0" hidden="1" customWidth="1"/>
    <col min="7" max="8" width="10.57421875" style="0" hidden="1" customWidth="1"/>
    <col min="9" max="9" width="13.28125" style="0" hidden="1" customWidth="1"/>
    <col min="10" max="10" width="13.00390625" style="0" hidden="1" customWidth="1"/>
    <col min="11" max="11" width="13.7109375" style="0" customWidth="1"/>
    <col min="12" max="12" width="11.57421875" style="0" customWidth="1"/>
    <col min="13" max="16" width="17.57421875" style="41" customWidth="1"/>
    <col min="17" max="17" width="16.28125" style="41" customWidth="1"/>
    <col min="18" max="18" width="11.421875" style="113" customWidth="1"/>
    <col min="19" max="19" width="18.7109375" style="0" customWidth="1"/>
    <col min="22" max="22" width="15.28125" style="0" customWidth="1"/>
    <col min="23" max="23" width="20.8515625" style="0" customWidth="1"/>
  </cols>
  <sheetData>
    <row r="1" spans="1:2" ht="12.75" hidden="1">
      <c r="A1" t="s">
        <v>75</v>
      </c>
      <c r="B1" t="s">
        <v>168</v>
      </c>
    </row>
    <row r="2" spans="1:2" ht="12.75" hidden="1">
      <c r="A2" t="s">
        <v>76</v>
      </c>
      <c r="B2" t="s">
        <v>168</v>
      </c>
    </row>
    <row r="3" spans="1:19" ht="12.75" hidden="1">
      <c r="A3" t="s">
        <v>77</v>
      </c>
      <c r="B3" t="s">
        <v>172</v>
      </c>
      <c r="K3" s="116">
        <v>0.9993055555555556</v>
      </c>
      <c r="S3" s="117">
        <f>0.04166666666</f>
        <v>0.04166666666</v>
      </c>
    </row>
    <row r="4" spans="1:11" ht="12.75" hidden="1">
      <c r="A4" t="s">
        <v>78</v>
      </c>
      <c r="B4" t="s">
        <v>173</v>
      </c>
      <c r="K4" s="116"/>
    </row>
    <row r="5" spans="1:12" ht="12.75" hidden="1">
      <c r="A5" t="s">
        <v>79</v>
      </c>
      <c r="B5" t="s">
        <v>168</v>
      </c>
      <c r="H5" s="125"/>
      <c r="I5" s="125"/>
      <c r="J5" s="125"/>
      <c r="K5" s="118">
        <v>1</v>
      </c>
      <c r="L5" s="116"/>
    </row>
    <row r="6" spans="1:11" ht="12.75" hidden="1">
      <c r="A6" t="s">
        <v>169</v>
      </c>
      <c r="K6" s="116"/>
    </row>
    <row r="7" spans="1:13" ht="12.75" hidden="1">
      <c r="A7" t="s">
        <v>80</v>
      </c>
      <c r="B7" t="s">
        <v>168</v>
      </c>
      <c r="K7" s="118">
        <v>0</v>
      </c>
      <c r="L7" s="116"/>
      <c r="M7" s="126"/>
    </row>
    <row r="8" spans="1:12" ht="12.75" hidden="1">
      <c r="A8" t="s">
        <v>174</v>
      </c>
      <c r="K8" s="116"/>
      <c r="L8" s="116"/>
    </row>
    <row r="9" spans="11:13" ht="12.75" hidden="1">
      <c r="K9" s="118"/>
      <c r="L9" s="118"/>
      <c r="M9" s="165"/>
    </row>
    <row r="10" ht="12.75" hidden="1">
      <c r="L10" s="116"/>
    </row>
    <row r="11" spans="12:13" ht="12.75" hidden="1">
      <c r="L11" s="116"/>
      <c r="M11" s="232"/>
    </row>
    <row r="12" spans="2:10" ht="12.75" hidden="1">
      <c r="B12" t="s">
        <v>81</v>
      </c>
      <c r="C12" t="s">
        <v>82</v>
      </c>
      <c r="D12" t="s">
        <v>82</v>
      </c>
      <c r="H12" s="41" t="s">
        <v>167</v>
      </c>
      <c r="I12" s="41" t="s">
        <v>165</v>
      </c>
      <c r="J12" s="41" t="s">
        <v>166</v>
      </c>
    </row>
    <row r="13" spans="1:18" ht="12.75">
      <c r="A13" t="s">
        <v>83</v>
      </c>
      <c r="B13" t="s">
        <v>84</v>
      </c>
      <c r="C13" t="s">
        <v>85</v>
      </c>
      <c r="D13" t="s">
        <v>142</v>
      </c>
      <c r="E13" t="s">
        <v>86</v>
      </c>
      <c r="F13" t="s">
        <v>87</v>
      </c>
      <c r="G13" t="s">
        <v>88</v>
      </c>
      <c r="H13" s="40" t="s">
        <v>164</v>
      </c>
      <c r="I13" s="40" t="s">
        <v>162</v>
      </c>
      <c r="J13" s="40" t="s">
        <v>163</v>
      </c>
      <c r="K13" s="103" t="s">
        <v>89</v>
      </c>
      <c r="L13" s="103" t="s">
        <v>90</v>
      </c>
      <c r="M13" s="105" t="s">
        <v>91</v>
      </c>
      <c r="N13" s="105" t="s">
        <v>92</v>
      </c>
      <c r="O13" s="105" t="s">
        <v>93</v>
      </c>
      <c r="P13" s="105" t="s">
        <v>97</v>
      </c>
      <c r="Q13" s="105" t="s">
        <v>96</v>
      </c>
      <c r="R13" s="105" t="s">
        <v>98</v>
      </c>
    </row>
    <row r="14" spans="8:17" ht="12.75">
      <c r="H14" s="40"/>
      <c r="I14" s="40"/>
      <c r="J14" s="40"/>
      <c r="K14" s="40"/>
      <c r="L14" s="40"/>
      <c r="M14" s="104"/>
      <c r="N14" s="119"/>
      <c r="O14" s="119"/>
      <c r="P14" s="119"/>
      <c r="Q14" s="119"/>
    </row>
    <row r="15" spans="1:19" ht="15">
      <c r="A15" t="s">
        <v>175</v>
      </c>
      <c r="B15" s="116">
        <v>0.8326388888888889</v>
      </c>
      <c r="C15" s="116">
        <v>0.9791666666666666</v>
      </c>
      <c r="D15" s="116">
        <v>0.1875</v>
      </c>
      <c r="E15" s="116">
        <v>0.3298611111111111</v>
      </c>
      <c r="F15" t="s">
        <v>157</v>
      </c>
      <c r="H15" s="59">
        <f>$K$5-C15</f>
        <v>0.02083333333333337</v>
      </c>
      <c r="I15" s="234">
        <f>C15-B15</f>
        <v>0.1465277777777777</v>
      </c>
      <c r="J15" s="234">
        <f>D15-E15</f>
        <v>-0.1423611111111111</v>
      </c>
      <c r="K15" s="121">
        <f>IF(AND($H15&lt;0.5,$I15&gt;=0,$J15&lt;0),($C15-$B15)+($E15-$D15),IF(AND($H15&lt;0.5,$I15&gt;=0,$J15&gt;=0),($C15-$B15),IF(AND($H15&lt;0.5,$I15&lt;0,$J15&gt;=0),0,IF(AND($H15&lt;0.5,$I15&lt;0,$J15&lt;0),$E15-$D15,IF(AND($H15&gt;=0.5,$I15&lt;0,$J15&lt;0),($C15-$K$7)+($K$5-$B15)+(E15-D15),IF(AND($H15&gt;=0.5,$I15&lt;0,$J15&gt;=0),($C15-$K$7)+($K$5-$B15),0))))))</f>
        <v>0.2888888888888888</v>
      </c>
      <c r="L15" s="233">
        <f>IF(AND($H15&lt;0.5,$I15&gt;=0,$J15&lt;0),($K$5-$C15)+($D15-$K$7),IF(AND($H15&lt;0.5,$I15&gt;=0,$J15&gt;=0),($K$5-$C15)+($E15-$K$7),IF(AND($H15&lt;0.5,$I15&lt;0,$J15&gt;=0),($K$5-$C15)+($D15-$K$7),IF(AND($H15&lt;0.5,$I15&lt;0,$J15&lt;0),($K$5-$C15)+($D15-$K$7),IF(AND($H15&gt;=0.5,$I15&lt;0,$J15&lt;0),$D15-$C15,IF(AND($H15&gt;=0.5,$I15&lt;0,$J15&gt;=0),$E15-$C15,0))))))</f>
        <v>0.20833333333333337</v>
      </c>
      <c r="M15" s="121">
        <f aca="true" t="shared" si="0" ref="M15:M78">$K15+$L15</f>
        <v>0.4972222222222222</v>
      </c>
      <c r="N15" s="59">
        <f>K15/$S$3</f>
        <v>6.933333334442665</v>
      </c>
      <c r="O15" s="59">
        <f>L15/$S$3</f>
        <v>5.000000000800001</v>
      </c>
      <c r="P15" s="101">
        <f>Puissance_en_nominale*Simulation!N15+Puissance_en_economie*Simulation!O15</f>
        <v>443.0014367438481</v>
      </c>
      <c r="Q15" s="101">
        <f>Puissance_à_la_tension_réseau*(N15+O15)</f>
        <v>597.8600000956576</v>
      </c>
      <c r="R15" s="128">
        <f>1-P15/Q15</f>
        <v>0.25902144871212684</v>
      </c>
      <c r="S15" s="123" t="s">
        <v>94</v>
      </c>
    </row>
    <row r="16" spans="1:18" ht="12.75">
      <c r="A16" t="s">
        <v>176</v>
      </c>
      <c r="B16" s="116">
        <v>0.8326388888888889</v>
      </c>
      <c r="C16" s="116">
        <v>0.9791666666666666</v>
      </c>
      <c r="D16" s="116">
        <v>0.1875</v>
      </c>
      <c r="E16" s="116">
        <v>0.3298611111111111</v>
      </c>
      <c r="F16" t="s">
        <v>157</v>
      </c>
      <c r="H16" s="59">
        <f aca="true" t="shared" si="1" ref="H16:H79">$K$5-C16</f>
        <v>0.02083333333333337</v>
      </c>
      <c r="I16" s="234">
        <f aca="true" t="shared" si="2" ref="I16:I79">C16-B16</f>
        <v>0.1465277777777777</v>
      </c>
      <c r="J16" s="234">
        <f aca="true" t="shared" si="3" ref="J16:J79">D16-E16</f>
        <v>-0.1423611111111111</v>
      </c>
      <c r="K16" s="121">
        <f aca="true" t="shared" si="4" ref="K16:K79">IF(AND($H16&lt;0.5,$I16&gt;=0,$J16&lt;0),($C16-$B16)+($E16-$D16),IF(AND($H16&lt;0.5,$I16&gt;=0,$J16&gt;=0),($C16-$B16),IF(AND($H16&lt;0.5,$I16&lt;0,$J16&gt;=0),0,IF(AND($H16&lt;0.5,$I16&lt;0,$J16&lt;0),$E16-$D16,IF(AND($H16&gt;=0.5,$I16&lt;0,$J16&lt;0),($C16-$K$7)+($K$5-$B16)+(E16-D16),IF(AND($H16&gt;=0.5,$I16&lt;0,$J16&gt;=0),($C16-$K$7)+($K$5-$B16),0))))))</f>
        <v>0.2888888888888888</v>
      </c>
      <c r="L16" s="233">
        <f aca="true" t="shared" si="5" ref="L16:L79">IF(AND($H16&lt;0.5,$I16&gt;=0,$J16&lt;0),($K$5-$C16)+($D16-$K$7),IF(AND($H16&lt;0.5,$I16&gt;=0,$J16&gt;=0),($K$5-$C16)+($E16-$K$7),IF(AND($H16&lt;0.5,$I16&lt;0,$J16&gt;=0),($K$5-$C16)+($D16-$K$7),IF(AND($H16&lt;0.5,$I16&lt;0,$J16&lt;0),($K$5-$C16)+($D16-$K$7),IF(AND($H16&gt;=0.5,$I16&lt;0,$J16&lt;0),$D16-$C16,IF(AND($H16&gt;=0.5,$I16&lt;0,$J16&gt;=0),$E16-$C16,0))))))</f>
        <v>0.20833333333333337</v>
      </c>
      <c r="M16" s="121">
        <f t="shared" si="0"/>
        <v>0.4972222222222222</v>
      </c>
      <c r="N16" s="59">
        <f aca="true" t="shared" si="6" ref="N16:O79">K16/$S$3</f>
        <v>6.933333334442665</v>
      </c>
      <c r="O16" s="59">
        <f t="shared" si="6"/>
        <v>5.000000000800001</v>
      </c>
      <c r="P16" s="101">
        <f>Puissance_en_nominale*Simulation!N16+Puissance_en_economie*Simulation!O16</f>
        <v>443.0014367438481</v>
      </c>
      <c r="Q16" s="101">
        <f aca="true" t="shared" si="7" ref="Q16:Q79">Puissance_à_la_tension_réseau*(N16+O16)</f>
        <v>597.8600000956576</v>
      </c>
      <c r="R16" s="128">
        <f aca="true" t="shared" si="8" ref="R16:R79">1-P16/Q16</f>
        <v>0.25902144871212684</v>
      </c>
    </row>
    <row r="17" spans="1:18" ht="12.75">
      <c r="A17" t="s">
        <v>177</v>
      </c>
      <c r="B17" s="116">
        <v>0.8326388888888889</v>
      </c>
      <c r="C17" s="116">
        <v>0.9791666666666666</v>
      </c>
      <c r="D17" s="116">
        <v>0.1875</v>
      </c>
      <c r="E17" s="116">
        <v>0.3298611111111111</v>
      </c>
      <c r="F17" t="s">
        <v>157</v>
      </c>
      <c r="H17" s="59">
        <f t="shared" si="1"/>
        <v>0.02083333333333337</v>
      </c>
      <c r="I17" s="234">
        <f t="shared" si="2"/>
        <v>0.1465277777777777</v>
      </c>
      <c r="J17" s="234">
        <f t="shared" si="3"/>
        <v>-0.1423611111111111</v>
      </c>
      <c r="K17" s="121">
        <f t="shared" si="4"/>
        <v>0.2888888888888888</v>
      </c>
      <c r="L17" s="233">
        <f t="shared" si="5"/>
        <v>0.20833333333333337</v>
      </c>
      <c r="M17" s="121">
        <f t="shared" si="0"/>
        <v>0.4972222222222222</v>
      </c>
      <c r="N17" s="59">
        <f t="shared" si="6"/>
        <v>6.933333334442665</v>
      </c>
      <c r="O17" s="59">
        <f t="shared" si="6"/>
        <v>5.000000000800001</v>
      </c>
      <c r="P17" s="101">
        <f>Puissance_en_nominale*Simulation!N17+Puissance_en_economie*Simulation!O17</f>
        <v>443.0014367438481</v>
      </c>
      <c r="Q17" s="101">
        <f t="shared" si="7"/>
        <v>597.8600000956576</v>
      </c>
      <c r="R17" s="128">
        <f t="shared" si="8"/>
        <v>0.25902144871212684</v>
      </c>
    </row>
    <row r="18" spans="1:18" ht="12.75">
      <c r="A18" t="s">
        <v>178</v>
      </c>
      <c r="B18" s="116">
        <v>0.8326388888888889</v>
      </c>
      <c r="C18" s="116">
        <v>0.9791666666666666</v>
      </c>
      <c r="D18" s="116">
        <v>0.1875</v>
      </c>
      <c r="E18" s="116">
        <v>0.34722222222222227</v>
      </c>
      <c r="F18" t="s">
        <v>157</v>
      </c>
      <c r="H18" s="59">
        <f t="shared" si="1"/>
        <v>0.02083333333333337</v>
      </c>
      <c r="I18" s="234">
        <f t="shared" si="2"/>
        <v>0.1465277777777777</v>
      </c>
      <c r="J18" s="234">
        <f t="shared" si="3"/>
        <v>-0.15972222222222227</v>
      </c>
      <c r="K18" s="121">
        <f t="shared" si="4"/>
        <v>0.30624999999999997</v>
      </c>
      <c r="L18" s="233">
        <f t="shared" si="5"/>
        <v>0.20833333333333337</v>
      </c>
      <c r="M18" s="121">
        <f t="shared" si="0"/>
        <v>0.5145833333333334</v>
      </c>
      <c r="N18" s="59">
        <f t="shared" si="6"/>
        <v>7.350000001175999</v>
      </c>
      <c r="O18" s="59">
        <f t="shared" si="6"/>
        <v>5.000000000800001</v>
      </c>
      <c r="P18" s="101">
        <f>Puissance_en_nominale*Simulation!N18+Puissance_en_economie*Simulation!O18</f>
        <v>460.40384695457203</v>
      </c>
      <c r="Q18" s="101">
        <f t="shared" si="7"/>
        <v>618.7350000989977</v>
      </c>
      <c r="R18" s="128">
        <f t="shared" si="8"/>
        <v>0.25589493582728096</v>
      </c>
    </row>
    <row r="19" spans="1:18" ht="12.75">
      <c r="A19" t="s">
        <v>179</v>
      </c>
      <c r="B19" s="116">
        <v>0.8118055555555556</v>
      </c>
      <c r="C19" s="116">
        <v>0.9583333333333334</v>
      </c>
      <c r="D19" s="116">
        <v>0.20833333333333334</v>
      </c>
      <c r="E19" s="116">
        <v>0.34722222222222227</v>
      </c>
      <c r="F19" t="s">
        <v>180</v>
      </c>
      <c r="H19" s="59">
        <f t="shared" si="1"/>
        <v>0.04166666666666663</v>
      </c>
      <c r="I19" s="234">
        <f t="shared" si="2"/>
        <v>0.1465277777777778</v>
      </c>
      <c r="J19" s="234">
        <f t="shared" si="3"/>
        <v>-0.13888888888888892</v>
      </c>
      <c r="K19" s="121">
        <f t="shared" si="4"/>
        <v>0.28541666666666676</v>
      </c>
      <c r="L19" s="233">
        <f t="shared" si="5"/>
        <v>0.24999999999999997</v>
      </c>
      <c r="M19" s="121">
        <f t="shared" si="0"/>
        <v>0.5354166666666668</v>
      </c>
      <c r="N19" s="59">
        <f t="shared" si="6"/>
        <v>6.850000001096003</v>
      </c>
      <c r="O19" s="59">
        <f t="shared" si="6"/>
        <v>6.00000000096</v>
      </c>
      <c r="P19" s="101">
        <f>Puissance_en_nominale*Simulation!N19+Puissance_en_economie*Simulation!O19</f>
        <v>470.206020869184</v>
      </c>
      <c r="Q19" s="101">
        <f t="shared" si="7"/>
        <v>643.7850001030058</v>
      </c>
      <c r="R19" s="128">
        <f t="shared" si="8"/>
        <v>0.2696225901598346</v>
      </c>
    </row>
    <row r="20" spans="1:18" ht="12.75">
      <c r="A20" t="s">
        <v>181</v>
      </c>
      <c r="B20" s="116">
        <v>0.8118055555555556</v>
      </c>
      <c r="C20" s="116">
        <v>0.9583333333333334</v>
      </c>
      <c r="D20" s="116">
        <v>0.20833333333333334</v>
      </c>
      <c r="E20" s="116">
        <v>0.3298611111111111</v>
      </c>
      <c r="F20" t="s">
        <v>180</v>
      </c>
      <c r="H20" s="59">
        <f t="shared" si="1"/>
        <v>0.04166666666666663</v>
      </c>
      <c r="I20" s="234">
        <f t="shared" si="2"/>
        <v>0.1465277777777778</v>
      </c>
      <c r="J20" s="234">
        <f t="shared" si="3"/>
        <v>-0.12152777777777776</v>
      </c>
      <c r="K20" s="121">
        <f t="shared" si="4"/>
        <v>0.2680555555555556</v>
      </c>
      <c r="L20" s="233">
        <f t="shared" si="5"/>
        <v>0.24999999999999997</v>
      </c>
      <c r="M20" s="121">
        <f t="shared" si="0"/>
        <v>0.5180555555555556</v>
      </c>
      <c r="N20" s="59">
        <f t="shared" si="6"/>
        <v>6.433333334362668</v>
      </c>
      <c r="O20" s="59">
        <f t="shared" si="6"/>
        <v>6.00000000096</v>
      </c>
      <c r="P20" s="101">
        <f>Puissance_en_nominale*Simulation!N20+Puissance_en_economie*Simulation!O20</f>
        <v>452.80361065846</v>
      </c>
      <c r="Q20" s="101">
        <f t="shared" si="7"/>
        <v>622.9100000996658</v>
      </c>
      <c r="R20" s="128">
        <f t="shared" si="8"/>
        <v>0.2730834139987939</v>
      </c>
    </row>
    <row r="21" spans="1:18" ht="12.75">
      <c r="A21" t="s">
        <v>182</v>
      </c>
      <c r="B21" s="116">
        <v>0.8333333333333334</v>
      </c>
      <c r="C21" s="116">
        <v>0.9791666666666666</v>
      </c>
      <c r="D21" s="116">
        <v>0.1875</v>
      </c>
      <c r="E21" s="116">
        <v>0.3298611111111111</v>
      </c>
      <c r="F21" t="s">
        <v>157</v>
      </c>
      <c r="H21" s="59">
        <f t="shared" si="1"/>
        <v>0.02083333333333337</v>
      </c>
      <c r="I21" s="234">
        <f t="shared" si="2"/>
        <v>0.14583333333333326</v>
      </c>
      <c r="J21" s="234">
        <f t="shared" si="3"/>
        <v>-0.1423611111111111</v>
      </c>
      <c r="K21" s="121">
        <f t="shared" si="4"/>
        <v>0.28819444444444436</v>
      </c>
      <c r="L21" s="233">
        <f t="shared" si="5"/>
        <v>0.20833333333333337</v>
      </c>
      <c r="M21" s="121">
        <f t="shared" si="0"/>
        <v>0.49652777777777773</v>
      </c>
      <c r="N21" s="59">
        <f t="shared" si="6"/>
        <v>6.916666667773332</v>
      </c>
      <c r="O21" s="59">
        <f t="shared" si="6"/>
        <v>5.000000000800001</v>
      </c>
      <c r="P21" s="101">
        <f>Puissance_en_nominale*Simulation!N21+Puissance_en_economie*Simulation!O21</f>
        <v>442.30534033541915</v>
      </c>
      <c r="Q21" s="101">
        <f t="shared" si="7"/>
        <v>597.0250000955241</v>
      </c>
      <c r="R21" s="128">
        <f t="shared" si="8"/>
        <v>0.25915105688262596</v>
      </c>
    </row>
    <row r="22" spans="1:21" ht="12.75">
      <c r="A22" t="s">
        <v>183</v>
      </c>
      <c r="B22" s="116">
        <v>0.8333333333333334</v>
      </c>
      <c r="C22" s="116">
        <v>0.9791666666666666</v>
      </c>
      <c r="D22" s="116">
        <v>0.1875</v>
      </c>
      <c r="E22" s="116">
        <v>0.3298611111111111</v>
      </c>
      <c r="F22" t="s">
        <v>157</v>
      </c>
      <c r="H22" s="59">
        <f t="shared" si="1"/>
        <v>0.02083333333333337</v>
      </c>
      <c r="I22" s="234">
        <f t="shared" si="2"/>
        <v>0.14583333333333326</v>
      </c>
      <c r="J22" s="234">
        <f t="shared" si="3"/>
        <v>-0.1423611111111111</v>
      </c>
      <c r="K22" s="121">
        <f t="shared" si="4"/>
        <v>0.28819444444444436</v>
      </c>
      <c r="L22" s="233">
        <f t="shared" si="5"/>
        <v>0.20833333333333337</v>
      </c>
      <c r="M22" s="121">
        <f t="shared" si="0"/>
        <v>0.49652777777777773</v>
      </c>
      <c r="N22" s="59">
        <f t="shared" si="6"/>
        <v>6.916666667773332</v>
      </c>
      <c r="O22" s="59">
        <f t="shared" si="6"/>
        <v>5.000000000800001</v>
      </c>
      <c r="P22" s="101">
        <f>Puissance_en_nominale*Simulation!N22+Puissance_en_economie*Simulation!O22</f>
        <v>442.30534033541915</v>
      </c>
      <c r="Q22" s="101">
        <f t="shared" si="7"/>
        <v>597.0250000955241</v>
      </c>
      <c r="R22" s="128">
        <f t="shared" si="8"/>
        <v>0.25915105688262596</v>
      </c>
      <c r="U22" s="124"/>
    </row>
    <row r="23" spans="1:21" ht="12.75">
      <c r="A23" t="s">
        <v>184</v>
      </c>
      <c r="B23" s="116">
        <v>0.8333333333333334</v>
      </c>
      <c r="C23" s="116">
        <v>0.9791666666666666</v>
      </c>
      <c r="D23" s="116">
        <v>0.1875</v>
      </c>
      <c r="E23" s="116">
        <v>0.3298611111111111</v>
      </c>
      <c r="F23" t="s">
        <v>157</v>
      </c>
      <c r="H23" s="59">
        <f t="shared" si="1"/>
        <v>0.02083333333333337</v>
      </c>
      <c r="I23" s="234">
        <f t="shared" si="2"/>
        <v>0.14583333333333326</v>
      </c>
      <c r="J23" s="234">
        <f t="shared" si="3"/>
        <v>-0.1423611111111111</v>
      </c>
      <c r="K23" s="121">
        <f t="shared" si="4"/>
        <v>0.28819444444444436</v>
      </c>
      <c r="L23" s="233">
        <f t="shared" si="5"/>
        <v>0.20833333333333337</v>
      </c>
      <c r="M23" s="121">
        <f t="shared" si="0"/>
        <v>0.49652777777777773</v>
      </c>
      <c r="N23" s="59">
        <f t="shared" si="6"/>
        <v>6.916666667773332</v>
      </c>
      <c r="O23" s="59">
        <f t="shared" si="6"/>
        <v>5.000000000800001</v>
      </c>
      <c r="P23" s="101">
        <f>Puissance_en_nominale*Simulation!N23+Puissance_en_economie*Simulation!O23</f>
        <v>442.30534033541915</v>
      </c>
      <c r="Q23" s="101">
        <f t="shared" si="7"/>
        <v>597.0250000955241</v>
      </c>
      <c r="R23" s="128">
        <f t="shared" si="8"/>
        <v>0.25915105688262596</v>
      </c>
      <c r="U23" s="124"/>
    </row>
    <row r="24" spans="1:21" ht="12.75">
      <c r="A24" t="s">
        <v>185</v>
      </c>
      <c r="B24" s="116">
        <v>0.8333333333333334</v>
      </c>
      <c r="C24" s="116">
        <v>0.9791666666666666</v>
      </c>
      <c r="D24" s="116">
        <v>0.1875</v>
      </c>
      <c r="E24" s="116">
        <v>0.33055555555555555</v>
      </c>
      <c r="F24" t="s">
        <v>157</v>
      </c>
      <c r="H24" s="59">
        <f t="shared" si="1"/>
        <v>0.02083333333333337</v>
      </c>
      <c r="I24" s="234">
        <f t="shared" si="2"/>
        <v>0.14583333333333326</v>
      </c>
      <c r="J24" s="234">
        <f t="shared" si="3"/>
        <v>-0.14305555555555555</v>
      </c>
      <c r="K24" s="121">
        <f t="shared" si="4"/>
        <v>0.2888888888888888</v>
      </c>
      <c r="L24" s="233">
        <f t="shared" si="5"/>
        <v>0.20833333333333337</v>
      </c>
      <c r="M24" s="121">
        <f t="shared" si="0"/>
        <v>0.4972222222222222</v>
      </c>
      <c r="N24" s="59">
        <f t="shared" si="6"/>
        <v>6.933333334442665</v>
      </c>
      <c r="O24" s="59">
        <f t="shared" si="6"/>
        <v>5.000000000800001</v>
      </c>
      <c r="P24" s="101">
        <f>Puissance_en_nominale*Simulation!N24+Puissance_en_economie*Simulation!O24</f>
        <v>443.0014367438481</v>
      </c>
      <c r="Q24" s="101">
        <f t="shared" si="7"/>
        <v>597.8600000956576</v>
      </c>
      <c r="R24" s="128">
        <f t="shared" si="8"/>
        <v>0.25902144871212684</v>
      </c>
      <c r="U24" s="124"/>
    </row>
    <row r="25" spans="1:21" ht="12.75">
      <c r="A25" t="s">
        <v>186</v>
      </c>
      <c r="B25" s="116">
        <v>0.8333333333333334</v>
      </c>
      <c r="C25" s="116">
        <v>0.9791666666666666</v>
      </c>
      <c r="D25" s="116">
        <v>0.1875</v>
      </c>
      <c r="E25" s="116">
        <v>0.34791666666666665</v>
      </c>
      <c r="F25" t="s">
        <v>157</v>
      </c>
      <c r="H25" s="59">
        <f t="shared" si="1"/>
        <v>0.02083333333333337</v>
      </c>
      <c r="I25" s="234">
        <f t="shared" si="2"/>
        <v>0.14583333333333326</v>
      </c>
      <c r="J25" s="234">
        <f t="shared" si="3"/>
        <v>-0.16041666666666665</v>
      </c>
      <c r="K25" s="121">
        <f t="shared" si="4"/>
        <v>0.3062499999999999</v>
      </c>
      <c r="L25" s="233">
        <f t="shared" si="5"/>
        <v>0.20833333333333337</v>
      </c>
      <c r="M25" s="121">
        <f t="shared" si="0"/>
        <v>0.5145833333333333</v>
      </c>
      <c r="N25" s="59">
        <f t="shared" si="6"/>
        <v>7.3500000011759985</v>
      </c>
      <c r="O25" s="59">
        <f t="shared" si="6"/>
        <v>5.000000000800001</v>
      </c>
      <c r="P25" s="101">
        <f>Puissance_en_nominale*Simulation!N25+Puissance_en_economie*Simulation!O25</f>
        <v>460.40384695457203</v>
      </c>
      <c r="Q25" s="101">
        <f t="shared" si="7"/>
        <v>618.7350000989977</v>
      </c>
      <c r="R25" s="128">
        <f t="shared" si="8"/>
        <v>0.25589493582728096</v>
      </c>
      <c r="U25" s="124"/>
    </row>
    <row r="26" spans="1:21" ht="12.75">
      <c r="A26" t="s">
        <v>187</v>
      </c>
      <c r="B26" s="116">
        <v>0.8125</v>
      </c>
      <c r="C26" s="116">
        <v>0.9583333333333334</v>
      </c>
      <c r="D26" s="116">
        <v>0.20833333333333334</v>
      </c>
      <c r="E26" s="116">
        <v>0.34791666666666665</v>
      </c>
      <c r="F26" t="s">
        <v>180</v>
      </c>
      <c r="H26" s="59">
        <f t="shared" si="1"/>
        <v>0.04166666666666663</v>
      </c>
      <c r="I26" s="234">
        <f t="shared" si="2"/>
        <v>0.14583333333333337</v>
      </c>
      <c r="J26" s="234">
        <f t="shared" si="3"/>
        <v>-0.1395833333333333</v>
      </c>
      <c r="K26" s="121">
        <f t="shared" si="4"/>
        <v>0.28541666666666665</v>
      </c>
      <c r="L26" s="233">
        <f t="shared" si="5"/>
        <v>0.24999999999999997</v>
      </c>
      <c r="M26" s="121">
        <f t="shared" si="0"/>
        <v>0.5354166666666667</v>
      </c>
      <c r="N26" s="59">
        <f t="shared" si="6"/>
        <v>6.850000001096</v>
      </c>
      <c r="O26" s="59">
        <f t="shared" si="6"/>
        <v>6.00000000096</v>
      </c>
      <c r="P26" s="101">
        <f>Puissance_en_nominale*Simulation!N26+Puissance_en_economie*Simulation!O26</f>
        <v>470.2060208691839</v>
      </c>
      <c r="Q26" s="101">
        <f t="shared" si="7"/>
        <v>643.7850001030057</v>
      </c>
      <c r="R26" s="128">
        <f t="shared" si="8"/>
        <v>0.2696225901598347</v>
      </c>
      <c r="U26" s="124"/>
    </row>
    <row r="27" spans="1:21" ht="12.75">
      <c r="A27" t="s">
        <v>188</v>
      </c>
      <c r="B27" s="116">
        <v>0.8125</v>
      </c>
      <c r="C27" s="116">
        <v>0.9583333333333334</v>
      </c>
      <c r="D27" s="116">
        <v>0.20833333333333334</v>
      </c>
      <c r="E27" s="116">
        <v>0.33055555555555555</v>
      </c>
      <c r="F27" t="s">
        <v>180</v>
      </c>
      <c r="H27" s="59">
        <f t="shared" si="1"/>
        <v>0.04166666666666663</v>
      </c>
      <c r="I27" s="234">
        <f t="shared" si="2"/>
        <v>0.14583333333333337</v>
      </c>
      <c r="J27" s="234">
        <f t="shared" si="3"/>
        <v>-0.1222222222222222</v>
      </c>
      <c r="K27" s="121">
        <f t="shared" si="4"/>
        <v>0.2680555555555556</v>
      </c>
      <c r="L27" s="233">
        <f t="shared" si="5"/>
        <v>0.24999999999999997</v>
      </c>
      <c r="M27" s="121">
        <f t="shared" si="0"/>
        <v>0.5180555555555556</v>
      </c>
      <c r="N27" s="59">
        <f t="shared" si="6"/>
        <v>6.433333334362668</v>
      </c>
      <c r="O27" s="59">
        <f t="shared" si="6"/>
        <v>6.00000000096</v>
      </c>
      <c r="P27" s="101">
        <f>Puissance_en_nominale*Simulation!N27+Puissance_en_economie*Simulation!O27</f>
        <v>452.80361065846</v>
      </c>
      <c r="Q27" s="101">
        <f t="shared" si="7"/>
        <v>622.9100000996658</v>
      </c>
      <c r="R27" s="128">
        <f t="shared" si="8"/>
        <v>0.2730834139987939</v>
      </c>
      <c r="U27" s="124"/>
    </row>
    <row r="28" spans="1:21" ht="12.75">
      <c r="A28" t="s">
        <v>189</v>
      </c>
      <c r="B28" s="116">
        <v>0.8340277777777777</v>
      </c>
      <c r="C28" s="116">
        <v>0.9791666666666666</v>
      </c>
      <c r="D28" s="116">
        <v>0.1875</v>
      </c>
      <c r="E28" s="116">
        <v>0.33055555555555555</v>
      </c>
      <c r="F28" t="s">
        <v>157</v>
      </c>
      <c r="H28" s="59">
        <f t="shared" si="1"/>
        <v>0.02083333333333337</v>
      </c>
      <c r="I28" s="234">
        <f t="shared" si="2"/>
        <v>0.14513888888888893</v>
      </c>
      <c r="J28" s="234">
        <f t="shared" si="3"/>
        <v>-0.14305555555555555</v>
      </c>
      <c r="K28" s="121">
        <f t="shared" si="4"/>
        <v>0.2881944444444445</v>
      </c>
      <c r="L28" s="233">
        <f t="shared" si="5"/>
        <v>0.20833333333333337</v>
      </c>
      <c r="M28" s="121">
        <f t="shared" si="0"/>
        <v>0.49652777777777785</v>
      </c>
      <c r="N28" s="59">
        <f t="shared" si="6"/>
        <v>6.916666667773335</v>
      </c>
      <c r="O28" s="59">
        <f t="shared" si="6"/>
        <v>5.000000000800001</v>
      </c>
      <c r="P28" s="101">
        <f>Puissance_en_nominale*Simulation!N28+Puissance_en_economie*Simulation!O28</f>
        <v>442.30534033541926</v>
      </c>
      <c r="Q28" s="101">
        <f t="shared" si="7"/>
        <v>597.0250000955242</v>
      </c>
      <c r="R28" s="128">
        <f t="shared" si="8"/>
        <v>0.25915105688262596</v>
      </c>
      <c r="U28" s="124"/>
    </row>
    <row r="29" spans="1:21" ht="12.75">
      <c r="A29" t="s">
        <v>190</v>
      </c>
      <c r="B29" s="116">
        <v>0.8340277777777777</v>
      </c>
      <c r="C29" s="116">
        <v>0.9791666666666666</v>
      </c>
      <c r="D29" s="116">
        <v>0.1875</v>
      </c>
      <c r="E29" s="116">
        <v>0.33055555555555555</v>
      </c>
      <c r="F29" t="s">
        <v>157</v>
      </c>
      <c r="H29" s="59">
        <f t="shared" si="1"/>
        <v>0.02083333333333337</v>
      </c>
      <c r="I29" s="234">
        <f t="shared" si="2"/>
        <v>0.14513888888888893</v>
      </c>
      <c r="J29" s="234">
        <f t="shared" si="3"/>
        <v>-0.14305555555555555</v>
      </c>
      <c r="K29" s="121">
        <f t="shared" si="4"/>
        <v>0.2881944444444445</v>
      </c>
      <c r="L29" s="233">
        <f t="shared" si="5"/>
        <v>0.20833333333333337</v>
      </c>
      <c r="M29" s="121">
        <f t="shared" si="0"/>
        <v>0.49652777777777785</v>
      </c>
      <c r="N29" s="59">
        <f t="shared" si="6"/>
        <v>6.916666667773335</v>
      </c>
      <c r="O29" s="59">
        <f t="shared" si="6"/>
        <v>5.000000000800001</v>
      </c>
      <c r="P29" s="101">
        <f>Puissance_en_nominale*Simulation!N29+Puissance_en_economie*Simulation!O29</f>
        <v>442.30534033541926</v>
      </c>
      <c r="Q29" s="101">
        <f t="shared" si="7"/>
        <v>597.0250000955242</v>
      </c>
      <c r="R29" s="128">
        <f t="shared" si="8"/>
        <v>0.25915105688262596</v>
      </c>
      <c r="U29" s="124"/>
    </row>
    <row r="30" spans="1:21" ht="12.75">
      <c r="A30" t="s">
        <v>191</v>
      </c>
      <c r="B30" s="116">
        <v>0.8340277777777777</v>
      </c>
      <c r="C30" s="116">
        <v>0.9791666666666666</v>
      </c>
      <c r="D30" s="116">
        <v>0.1875</v>
      </c>
      <c r="E30" s="116">
        <v>0.33125</v>
      </c>
      <c r="F30" t="s">
        <v>157</v>
      </c>
      <c r="H30" s="59">
        <f t="shared" si="1"/>
        <v>0.02083333333333337</v>
      </c>
      <c r="I30" s="234">
        <f t="shared" si="2"/>
        <v>0.14513888888888893</v>
      </c>
      <c r="J30" s="234">
        <f t="shared" si="3"/>
        <v>-0.14375</v>
      </c>
      <c r="K30" s="121">
        <f t="shared" si="4"/>
        <v>0.2888888888888889</v>
      </c>
      <c r="L30" s="233">
        <f t="shared" si="5"/>
        <v>0.20833333333333337</v>
      </c>
      <c r="M30" s="121">
        <f t="shared" si="0"/>
        <v>0.4972222222222223</v>
      </c>
      <c r="N30" s="59">
        <f t="shared" si="6"/>
        <v>6.9333333344426675</v>
      </c>
      <c r="O30" s="59">
        <f t="shared" si="6"/>
        <v>5.000000000800001</v>
      </c>
      <c r="P30" s="101">
        <f>Puissance_en_nominale*Simulation!N30+Puissance_en_economie*Simulation!O30</f>
        <v>443.0014367438482</v>
      </c>
      <c r="Q30" s="101">
        <f t="shared" si="7"/>
        <v>597.8600000956578</v>
      </c>
      <c r="R30" s="128">
        <f t="shared" si="8"/>
        <v>0.25902144871212684</v>
      </c>
      <c r="U30" s="42"/>
    </row>
    <row r="31" spans="1:23" ht="12.75">
      <c r="A31" t="s">
        <v>192</v>
      </c>
      <c r="B31" s="116">
        <v>0.8340277777777777</v>
      </c>
      <c r="C31" s="116">
        <v>0.9791666666666666</v>
      </c>
      <c r="D31" s="116">
        <v>0.1875</v>
      </c>
      <c r="E31" s="116">
        <v>0.33125</v>
      </c>
      <c r="F31" t="s">
        <v>157</v>
      </c>
      <c r="H31" s="59">
        <f t="shared" si="1"/>
        <v>0.02083333333333337</v>
      </c>
      <c r="I31" s="234">
        <f t="shared" si="2"/>
        <v>0.14513888888888893</v>
      </c>
      <c r="J31" s="234">
        <f t="shared" si="3"/>
        <v>-0.14375</v>
      </c>
      <c r="K31" s="121">
        <f t="shared" si="4"/>
        <v>0.2888888888888889</v>
      </c>
      <c r="L31" s="233">
        <f t="shared" si="5"/>
        <v>0.20833333333333337</v>
      </c>
      <c r="M31" s="121">
        <f t="shared" si="0"/>
        <v>0.4972222222222223</v>
      </c>
      <c r="N31" s="59">
        <f t="shared" si="6"/>
        <v>6.9333333344426675</v>
      </c>
      <c r="O31" s="59">
        <f t="shared" si="6"/>
        <v>5.000000000800001</v>
      </c>
      <c r="P31" s="101">
        <f>Puissance_en_nominale*Simulation!N31+Puissance_en_economie*Simulation!O31</f>
        <v>443.0014367438482</v>
      </c>
      <c r="Q31" s="101">
        <f t="shared" si="7"/>
        <v>597.8600000956578</v>
      </c>
      <c r="R31" s="128">
        <f t="shared" si="8"/>
        <v>0.25902144871212684</v>
      </c>
      <c r="S31" s="125"/>
      <c r="T31" s="129"/>
      <c r="V31" s="118"/>
      <c r="W31" s="118"/>
    </row>
    <row r="32" spans="1:20" ht="12.75">
      <c r="A32" t="s">
        <v>193</v>
      </c>
      <c r="B32" s="116">
        <v>0.8340277777777777</v>
      </c>
      <c r="C32" s="116">
        <v>0.9791666666666666</v>
      </c>
      <c r="D32" s="116">
        <v>0.1875</v>
      </c>
      <c r="E32" s="116">
        <v>0.34861111111111115</v>
      </c>
      <c r="F32" t="s">
        <v>157</v>
      </c>
      <c r="H32" s="59">
        <f t="shared" si="1"/>
        <v>0.02083333333333337</v>
      </c>
      <c r="I32" s="234">
        <f t="shared" si="2"/>
        <v>0.14513888888888893</v>
      </c>
      <c r="J32" s="234">
        <f t="shared" si="3"/>
        <v>-0.16111111111111115</v>
      </c>
      <c r="K32" s="121">
        <f t="shared" si="4"/>
        <v>0.3062500000000001</v>
      </c>
      <c r="L32" s="233">
        <f t="shared" si="5"/>
        <v>0.20833333333333337</v>
      </c>
      <c r="M32" s="121">
        <f t="shared" si="0"/>
        <v>0.5145833333333334</v>
      </c>
      <c r="N32" s="59">
        <f t="shared" si="6"/>
        <v>7.350000001176002</v>
      </c>
      <c r="O32" s="59">
        <f t="shared" si="6"/>
        <v>5.000000000800001</v>
      </c>
      <c r="P32" s="101">
        <f>Puissance_en_nominale*Simulation!N32+Puissance_en_economie*Simulation!O32</f>
        <v>460.40384695457215</v>
      </c>
      <c r="Q32" s="101">
        <f t="shared" si="7"/>
        <v>618.7350000989978</v>
      </c>
      <c r="R32" s="128">
        <f t="shared" si="8"/>
        <v>0.25589493582728084</v>
      </c>
      <c r="T32" s="130"/>
    </row>
    <row r="33" spans="1:20" ht="12.75">
      <c r="A33" t="s">
        <v>194</v>
      </c>
      <c r="B33" s="116">
        <v>0.813888888888889</v>
      </c>
      <c r="C33" s="116">
        <v>0.9583333333333334</v>
      </c>
      <c r="D33" s="116">
        <v>0.20833333333333334</v>
      </c>
      <c r="E33" s="116">
        <v>0.34861111111111115</v>
      </c>
      <c r="F33" t="s">
        <v>180</v>
      </c>
      <c r="H33" s="59">
        <f t="shared" si="1"/>
        <v>0.04166666666666663</v>
      </c>
      <c r="I33" s="234">
        <f t="shared" si="2"/>
        <v>0.14444444444444438</v>
      </c>
      <c r="J33" s="234">
        <f t="shared" si="3"/>
        <v>-0.1402777777777778</v>
      </c>
      <c r="K33" s="121">
        <f t="shared" si="4"/>
        <v>0.2847222222222222</v>
      </c>
      <c r="L33" s="233">
        <f t="shared" si="5"/>
        <v>0.24999999999999997</v>
      </c>
      <c r="M33" s="121">
        <f t="shared" si="0"/>
        <v>0.5347222222222222</v>
      </c>
      <c r="N33" s="59">
        <f t="shared" si="6"/>
        <v>6.8333333344266665</v>
      </c>
      <c r="O33" s="59">
        <f t="shared" si="6"/>
        <v>6.00000000096</v>
      </c>
      <c r="P33" s="101">
        <f>Puissance_en_nominale*Simulation!N33+Puissance_en_economie*Simulation!O33</f>
        <v>469.50992446075486</v>
      </c>
      <c r="Q33" s="101">
        <f t="shared" si="7"/>
        <v>642.9500001028721</v>
      </c>
      <c r="R33" s="128">
        <f t="shared" si="8"/>
        <v>0.2697567083200354</v>
      </c>
      <c r="T33" s="130"/>
    </row>
    <row r="34" spans="1:20" ht="12.75">
      <c r="A34" t="s">
        <v>195</v>
      </c>
      <c r="B34" s="116">
        <v>0.813888888888889</v>
      </c>
      <c r="C34" s="116">
        <v>0.9583333333333334</v>
      </c>
      <c r="D34" s="116">
        <v>0.20833333333333334</v>
      </c>
      <c r="E34" s="116">
        <v>0.33125</v>
      </c>
      <c r="F34" t="s">
        <v>180</v>
      </c>
      <c r="H34" s="59">
        <f t="shared" si="1"/>
        <v>0.04166666666666663</v>
      </c>
      <c r="I34" s="234">
        <f t="shared" si="2"/>
        <v>0.14444444444444438</v>
      </c>
      <c r="J34" s="234">
        <f t="shared" si="3"/>
        <v>-0.12291666666666665</v>
      </c>
      <c r="K34" s="121">
        <f t="shared" si="4"/>
        <v>0.26736111111111105</v>
      </c>
      <c r="L34" s="233">
        <f t="shared" si="5"/>
        <v>0.24999999999999997</v>
      </c>
      <c r="M34" s="121">
        <f t="shared" si="0"/>
        <v>0.517361111111111</v>
      </c>
      <c r="N34" s="59">
        <f t="shared" si="6"/>
        <v>6.416666667693332</v>
      </c>
      <c r="O34" s="59">
        <f t="shared" si="6"/>
        <v>6.00000000096</v>
      </c>
      <c r="P34" s="101">
        <f>Puissance_en_nominale*Simulation!N34+Puissance_en_economie*Simulation!O34</f>
        <v>452.10751425003093</v>
      </c>
      <c r="Q34" s="101">
        <f t="shared" si="7"/>
        <v>622.075000099532</v>
      </c>
      <c r="R34" s="128">
        <f t="shared" si="8"/>
        <v>0.2732266781695234</v>
      </c>
      <c r="T34" s="130"/>
    </row>
    <row r="35" spans="1:20" ht="12.75">
      <c r="A35" t="s">
        <v>196</v>
      </c>
      <c r="B35" s="116">
        <v>0.8347222222222223</v>
      </c>
      <c r="C35" s="116">
        <v>0.9791666666666666</v>
      </c>
      <c r="D35" s="116">
        <v>0.1875</v>
      </c>
      <c r="E35" s="116">
        <v>0.33194444444444443</v>
      </c>
      <c r="F35" t="s">
        <v>157</v>
      </c>
      <c r="H35" s="59">
        <f t="shared" si="1"/>
        <v>0.02083333333333337</v>
      </c>
      <c r="I35" s="234">
        <f t="shared" si="2"/>
        <v>0.14444444444444438</v>
      </c>
      <c r="J35" s="234">
        <f t="shared" si="3"/>
        <v>-0.14444444444444443</v>
      </c>
      <c r="K35" s="121">
        <f t="shared" si="4"/>
        <v>0.2888888888888888</v>
      </c>
      <c r="L35" s="233">
        <f t="shared" si="5"/>
        <v>0.20833333333333337</v>
      </c>
      <c r="M35" s="121">
        <f t="shared" si="0"/>
        <v>0.4972222222222222</v>
      </c>
      <c r="N35" s="59">
        <f t="shared" si="6"/>
        <v>6.933333334442665</v>
      </c>
      <c r="O35" s="59">
        <f t="shared" si="6"/>
        <v>5.000000000800001</v>
      </c>
      <c r="P35" s="101">
        <f>Puissance_en_nominale*Simulation!N35+Puissance_en_economie*Simulation!O35</f>
        <v>443.0014367438481</v>
      </c>
      <c r="Q35" s="101">
        <f t="shared" si="7"/>
        <v>597.8600000956576</v>
      </c>
      <c r="R35" s="128">
        <f t="shared" si="8"/>
        <v>0.25902144871212684</v>
      </c>
      <c r="T35" s="130"/>
    </row>
    <row r="36" spans="1:22" ht="12.75">
      <c r="A36" t="s">
        <v>197</v>
      </c>
      <c r="B36" s="116">
        <v>0.8347222222222223</v>
      </c>
      <c r="C36" s="116">
        <v>0.9791666666666666</v>
      </c>
      <c r="D36" s="116">
        <v>0.1875</v>
      </c>
      <c r="E36" s="116">
        <v>0.33194444444444443</v>
      </c>
      <c r="F36" t="s">
        <v>157</v>
      </c>
      <c r="H36" s="59">
        <f t="shared" si="1"/>
        <v>0.02083333333333337</v>
      </c>
      <c r="I36" s="234">
        <f t="shared" si="2"/>
        <v>0.14444444444444438</v>
      </c>
      <c r="J36" s="234">
        <f t="shared" si="3"/>
        <v>-0.14444444444444443</v>
      </c>
      <c r="K36" s="121">
        <f t="shared" si="4"/>
        <v>0.2888888888888888</v>
      </c>
      <c r="L36" s="233">
        <f t="shared" si="5"/>
        <v>0.20833333333333337</v>
      </c>
      <c r="M36" s="121">
        <f t="shared" si="0"/>
        <v>0.4972222222222222</v>
      </c>
      <c r="N36" s="59">
        <f t="shared" si="6"/>
        <v>6.933333334442665</v>
      </c>
      <c r="O36" s="59">
        <f t="shared" si="6"/>
        <v>5.000000000800001</v>
      </c>
      <c r="P36" s="101">
        <f>Puissance_en_nominale*Simulation!N36+Puissance_en_economie*Simulation!O36</f>
        <v>443.0014367438481</v>
      </c>
      <c r="Q36" s="101">
        <f t="shared" si="7"/>
        <v>597.8600000956576</v>
      </c>
      <c r="R36" s="128">
        <f t="shared" si="8"/>
        <v>0.25902144871212684</v>
      </c>
      <c r="T36" s="130"/>
      <c r="V36" s="120"/>
    </row>
    <row r="37" spans="1:20" ht="12.75">
      <c r="A37" t="s">
        <v>198</v>
      </c>
      <c r="B37" s="116">
        <v>0.8347222222222223</v>
      </c>
      <c r="C37" s="116">
        <v>0.9791666666666666</v>
      </c>
      <c r="D37" s="116">
        <v>0.1875</v>
      </c>
      <c r="E37" s="116">
        <v>0.33194444444444443</v>
      </c>
      <c r="F37" t="s">
        <v>157</v>
      </c>
      <c r="H37" s="59">
        <f t="shared" si="1"/>
        <v>0.02083333333333337</v>
      </c>
      <c r="I37" s="234">
        <f t="shared" si="2"/>
        <v>0.14444444444444438</v>
      </c>
      <c r="J37" s="234">
        <f t="shared" si="3"/>
        <v>-0.14444444444444443</v>
      </c>
      <c r="K37" s="121">
        <f t="shared" si="4"/>
        <v>0.2888888888888888</v>
      </c>
      <c r="L37" s="233">
        <f t="shared" si="5"/>
        <v>0.20833333333333337</v>
      </c>
      <c r="M37" s="121">
        <f t="shared" si="0"/>
        <v>0.4972222222222222</v>
      </c>
      <c r="N37" s="59">
        <f t="shared" si="6"/>
        <v>6.933333334442665</v>
      </c>
      <c r="O37" s="59">
        <f t="shared" si="6"/>
        <v>5.000000000800001</v>
      </c>
      <c r="P37" s="101">
        <f>Puissance_en_nominale*Simulation!N37+Puissance_en_economie*Simulation!O37</f>
        <v>443.0014367438481</v>
      </c>
      <c r="Q37" s="101">
        <f t="shared" si="7"/>
        <v>597.8600000956576</v>
      </c>
      <c r="R37" s="128">
        <f t="shared" si="8"/>
        <v>0.25902144871212684</v>
      </c>
      <c r="T37" s="130"/>
    </row>
    <row r="38" spans="1:20" ht="12.75">
      <c r="A38" t="s">
        <v>199</v>
      </c>
      <c r="B38" s="116">
        <v>0.8354166666666667</v>
      </c>
      <c r="C38" s="116">
        <v>0.9791666666666666</v>
      </c>
      <c r="D38" s="116">
        <v>0.1875</v>
      </c>
      <c r="E38" s="116">
        <v>0.33194444444444443</v>
      </c>
      <c r="F38" t="s">
        <v>157</v>
      </c>
      <c r="H38" s="59">
        <f t="shared" si="1"/>
        <v>0.02083333333333337</v>
      </c>
      <c r="I38" s="234">
        <f t="shared" si="2"/>
        <v>0.14374999999999993</v>
      </c>
      <c r="J38" s="234">
        <f t="shared" si="3"/>
        <v>-0.14444444444444443</v>
      </c>
      <c r="K38" s="121">
        <f t="shared" si="4"/>
        <v>0.28819444444444436</v>
      </c>
      <c r="L38" s="233">
        <f t="shared" si="5"/>
        <v>0.20833333333333337</v>
      </c>
      <c r="M38" s="121">
        <f t="shared" si="0"/>
        <v>0.49652777777777773</v>
      </c>
      <c r="N38" s="59">
        <f t="shared" si="6"/>
        <v>6.916666667773332</v>
      </c>
      <c r="O38" s="59">
        <f t="shared" si="6"/>
        <v>5.000000000800001</v>
      </c>
      <c r="P38" s="101">
        <f>Puissance_en_nominale*Simulation!N38+Puissance_en_economie*Simulation!O38</f>
        <v>442.30534033541915</v>
      </c>
      <c r="Q38" s="101">
        <f t="shared" si="7"/>
        <v>597.0250000955241</v>
      </c>
      <c r="R38" s="128">
        <f t="shared" si="8"/>
        <v>0.25915105688262596</v>
      </c>
      <c r="T38" s="130"/>
    </row>
    <row r="39" spans="1:22" ht="12.75">
      <c r="A39" t="s">
        <v>200</v>
      </c>
      <c r="B39" s="116">
        <v>0.8354166666666667</v>
      </c>
      <c r="C39" s="116">
        <v>0.9791666666666666</v>
      </c>
      <c r="D39" s="116">
        <v>0.1875</v>
      </c>
      <c r="E39" s="116">
        <v>0.34930555555555554</v>
      </c>
      <c r="F39" t="s">
        <v>157</v>
      </c>
      <c r="H39" s="59">
        <f t="shared" si="1"/>
        <v>0.02083333333333337</v>
      </c>
      <c r="I39" s="234">
        <f t="shared" si="2"/>
        <v>0.14374999999999993</v>
      </c>
      <c r="J39" s="234">
        <f t="shared" si="3"/>
        <v>-0.16180555555555554</v>
      </c>
      <c r="K39" s="121">
        <f t="shared" si="4"/>
        <v>0.30555555555555547</v>
      </c>
      <c r="L39" s="233">
        <f t="shared" si="5"/>
        <v>0.20833333333333337</v>
      </c>
      <c r="M39" s="121">
        <f t="shared" si="0"/>
        <v>0.5138888888888888</v>
      </c>
      <c r="N39" s="59">
        <f t="shared" si="6"/>
        <v>7.333333334506665</v>
      </c>
      <c r="O39" s="59">
        <f t="shared" si="6"/>
        <v>5.000000000800001</v>
      </c>
      <c r="P39" s="101">
        <f>Puissance_en_nominale*Simulation!N39+Puissance_en_economie*Simulation!O39</f>
        <v>459.70775054614296</v>
      </c>
      <c r="Q39" s="101">
        <f t="shared" si="7"/>
        <v>617.9000000988641</v>
      </c>
      <c r="R39" s="128">
        <f t="shared" si="8"/>
        <v>0.2560159403259594</v>
      </c>
      <c r="T39" s="130"/>
      <c r="V39" s="114"/>
    </row>
    <row r="40" spans="1:20" ht="12.75">
      <c r="A40" t="s">
        <v>201</v>
      </c>
      <c r="B40" s="116">
        <v>0.8145833333333333</v>
      </c>
      <c r="C40" s="116">
        <v>0.9583333333333334</v>
      </c>
      <c r="D40" s="116">
        <v>0.20833333333333334</v>
      </c>
      <c r="E40" s="116">
        <v>0.35</v>
      </c>
      <c r="F40" t="s">
        <v>180</v>
      </c>
      <c r="H40" s="59">
        <f t="shared" si="1"/>
        <v>0.04166666666666663</v>
      </c>
      <c r="I40" s="234">
        <f t="shared" si="2"/>
        <v>0.14375000000000004</v>
      </c>
      <c r="J40" s="234">
        <f t="shared" si="3"/>
        <v>-0.14166666666666664</v>
      </c>
      <c r="K40" s="121">
        <f t="shared" si="4"/>
        <v>0.28541666666666665</v>
      </c>
      <c r="L40" s="233">
        <f t="shared" si="5"/>
        <v>0.24999999999999997</v>
      </c>
      <c r="M40" s="121">
        <f t="shared" si="0"/>
        <v>0.5354166666666667</v>
      </c>
      <c r="N40" s="59">
        <f t="shared" si="6"/>
        <v>6.850000001096</v>
      </c>
      <c r="O40" s="59">
        <f t="shared" si="6"/>
        <v>6.00000000096</v>
      </c>
      <c r="P40" s="101">
        <f>Puissance_en_nominale*Simulation!N40+Puissance_en_economie*Simulation!O40</f>
        <v>470.2060208691839</v>
      </c>
      <c r="Q40" s="101">
        <f t="shared" si="7"/>
        <v>643.7850001030057</v>
      </c>
      <c r="R40" s="128">
        <f t="shared" si="8"/>
        <v>0.2696225901598347</v>
      </c>
      <c r="T40" s="130"/>
    </row>
    <row r="41" spans="1:20" ht="12.75">
      <c r="A41" t="s">
        <v>202</v>
      </c>
      <c r="B41" s="116">
        <v>0.8145833333333333</v>
      </c>
      <c r="C41" s="116">
        <v>0.9583333333333334</v>
      </c>
      <c r="D41" s="116">
        <v>0.20833333333333334</v>
      </c>
      <c r="E41" s="116">
        <v>0.3326388888888889</v>
      </c>
      <c r="F41" t="s">
        <v>180</v>
      </c>
      <c r="H41" s="59">
        <f t="shared" si="1"/>
        <v>0.04166666666666663</v>
      </c>
      <c r="I41" s="234">
        <f t="shared" si="2"/>
        <v>0.14375000000000004</v>
      </c>
      <c r="J41" s="234">
        <f t="shared" si="3"/>
        <v>-0.12430555555555553</v>
      </c>
      <c r="K41" s="121">
        <f t="shared" si="4"/>
        <v>0.2680555555555556</v>
      </c>
      <c r="L41" s="233">
        <f t="shared" si="5"/>
        <v>0.24999999999999997</v>
      </c>
      <c r="M41" s="121">
        <f t="shared" si="0"/>
        <v>0.5180555555555556</v>
      </c>
      <c r="N41" s="59">
        <f t="shared" si="6"/>
        <v>6.433333334362668</v>
      </c>
      <c r="O41" s="59">
        <f t="shared" si="6"/>
        <v>6.00000000096</v>
      </c>
      <c r="P41" s="101">
        <f>Puissance_en_nominale*Simulation!N41+Puissance_en_economie*Simulation!O41</f>
        <v>452.80361065846</v>
      </c>
      <c r="Q41" s="101">
        <f t="shared" si="7"/>
        <v>622.9100000996658</v>
      </c>
      <c r="R41" s="128">
        <f t="shared" si="8"/>
        <v>0.2730834139987939</v>
      </c>
      <c r="T41" s="130"/>
    </row>
    <row r="42" spans="1:20" ht="12.75">
      <c r="A42" t="s">
        <v>203</v>
      </c>
      <c r="B42" s="116">
        <v>0.8354166666666667</v>
      </c>
      <c r="C42" s="116">
        <v>0.9791666666666666</v>
      </c>
      <c r="D42" s="116">
        <v>0.1875</v>
      </c>
      <c r="E42" s="116">
        <v>0.3326388888888889</v>
      </c>
      <c r="F42" t="s">
        <v>157</v>
      </c>
      <c r="H42" s="59">
        <f t="shared" si="1"/>
        <v>0.02083333333333337</v>
      </c>
      <c r="I42" s="234">
        <f t="shared" si="2"/>
        <v>0.14374999999999993</v>
      </c>
      <c r="J42" s="234">
        <f t="shared" si="3"/>
        <v>-0.14513888888888887</v>
      </c>
      <c r="K42" s="121">
        <f t="shared" si="4"/>
        <v>0.2888888888888888</v>
      </c>
      <c r="L42" s="233">
        <f t="shared" si="5"/>
        <v>0.20833333333333337</v>
      </c>
      <c r="M42" s="121">
        <f t="shared" si="0"/>
        <v>0.4972222222222222</v>
      </c>
      <c r="N42" s="59">
        <f t="shared" si="6"/>
        <v>6.933333334442665</v>
      </c>
      <c r="O42" s="59">
        <f t="shared" si="6"/>
        <v>5.000000000800001</v>
      </c>
      <c r="P42" s="101">
        <f>Puissance_en_nominale*Simulation!N42+Puissance_en_economie*Simulation!O42</f>
        <v>443.0014367438481</v>
      </c>
      <c r="Q42" s="101">
        <f t="shared" si="7"/>
        <v>597.8600000956576</v>
      </c>
      <c r="R42" s="128">
        <f t="shared" si="8"/>
        <v>0.25902144871212684</v>
      </c>
      <c r="T42" s="130"/>
    </row>
    <row r="43" spans="1:18" ht="12.75">
      <c r="A43" t="s">
        <v>204</v>
      </c>
      <c r="B43" s="116">
        <v>0.8361111111111111</v>
      </c>
      <c r="C43" s="116">
        <v>0.9791666666666666</v>
      </c>
      <c r="D43" s="116">
        <v>0.1875</v>
      </c>
      <c r="E43" s="116">
        <v>0.3326388888888889</v>
      </c>
      <c r="F43" t="s">
        <v>157</v>
      </c>
      <c r="H43" s="59">
        <f t="shared" si="1"/>
        <v>0.02083333333333337</v>
      </c>
      <c r="I43" s="234">
        <f t="shared" si="2"/>
        <v>0.1430555555555555</v>
      </c>
      <c r="J43" s="234">
        <f t="shared" si="3"/>
        <v>-0.14513888888888887</v>
      </c>
      <c r="K43" s="121">
        <f t="shared" si="4"/>
        <v>0.28819444444444436</v>
      </c>
      <c r="L43" s="233">
        <f t="shared" si="5"/>
        <v>0.20833333333333337</v>
      </c>
      <c r="M43" s="121">
        <f t="shared" si="0"/>
        <v>0.49652777777777773</v>
      </c>
      <c r="N43" s="59">
        <f t="shared" si="6"/>
        <v>6.916666667773332</v>
      </c>
      <c r="O43" s="59">
        <f t="shared" si="6"/>
        <v>5.000000000800001</v>
      </c>
      <c r="P43" s="101">
        <f>Puissance_en_nominale*Simulation!N43+Puissance_en_economie*Simulation!O43</f>
        <v>442.30534033541915</v>
      </c>
      <c r="Q43" s="101">
        <f t="shared" si="7"/>
        <v>597.0250000955241</v>
      </c>
      <c r="R43" s="128">
        <f t="shared" si="8"/>
        <v>0.25915105688262596</v>
      </c>
    </row>
    <row r="44" spans="1:18" ht="12.75">
      <c r="A44" t="s">
        <v>205</v>
      </c>
      <c r="B44" s="116">
        <v>0.8361111111111111</v>
      </c>
      <c r="C44" s="116">
        <v>0.9791666666666666</v>
      </c>
      <c r="D44" s="116">
        <v>0.1875</v>
      </c>
      <c r="E44" s="116">
        <v>0.3326388888888889</v>
      </c>
      <c r="F44" t="s">
        <v>157</v>
      </c>
      <c r="H44" s="59">
        <f t="shared" si="1"/>
        <v>0.02083333333333337</v>
      </c>
      <c r="I44" s="234">
        <f t="shared" si="2"/>
        <v>0.1430555555555555</v>
      </c>
      <c r="J44" s="234">
        <f t="shared" si="3"/>
        <v>-0.14513888888888887</v>
      </c>
      <c r="K44" s="121">
        <f t="shared" si="4"/>
        <v>0.28819444444444436</v>
      </c>
      <c r="L44" s="233">
        <f t="shared" si="5"/>
        <v>0.20833333333333337</v>
      </c>
      <c r="M44" s="121">
        <f t="shared" si="0"/>
        <v>0.49652777777777773</v>
      </c>
      <c r="N44" s="59">
        <f t="shared" si="6"/>
        <v>6.916666667773332</v>
      </c>
      <c r="O44" s="59">
        <f t="shared" si="6"/>
        <v>5.000000000800001</v>
      </c>
      <c r="P44" s="101">
        <f>Puissance_en_nominale*Simulation!N44+Puissance_en_economie*Simulation!O44</f>
        <v>442.30534033541915</v>
      </c>
      <c r="Q44" s="101">
        <f t="shared" si="7"/>
        <v>597.0250000955241</v>
      </c>
      <c r="R44" s="128">
        <f t="shared" si="8"/>
        <v>0.25915105688262596</v>
      </c>
    </row>
    <row r="45" spans="1:18" ht="12.75">
      <c r="A45" t="s">
        <v>206</v>
      </c>
      <c r="B45" s="116">
        <v>0.8361111111111111</v>
      </c>
      <c r="C45" s="116">
        <v>0.9791666666666666</v>
      </c>
      <c r="D45" s="116">
        <v>0.1875</v>
      </c>
      <c r="E45" s="116">
        <v>0.3333333333333333</v>
      </c>
      <c r="F45" t="s">
        <v>157</v>
      </c>
      <c r="H45" s="59">
        <f t="shared" si="1"/>
        <v>0.02083333333333337</v>
      </c>
      <c r="I45" s="234">
        <f t="shared" si="2"/>
        <v>0.1430555555555555</v>
      </c>
      <c r="J45" s="234">
        <f t="shared" si="3"/>
        <v>-0.14583333333333331</v>
      </c>
      <c r="K45" s="121">
        <f t="shared" si="4"/>
        <v>0.2888888888888888</v>
      </c>
      <c r="L45" s="233">
        <f t="shared" si="5"/>
        <v>0.20833333333333337</v>
      </c>
      <c r="M45" s="121">
        <f t="shared" si="0"/>
        <v>0.4972222222222222</v>
      </c>
      <c r="N45" s="59">
        <f t="shared" si="6"/>
        <v>6.933333334442665</v>
      </c>
      <c r="O45" s="59">
        <f t="shared" si="6"/>
        <v>5.000000000800001</v>
      </c>
      <c r="P45" s="101">
        <f>Puissance_en_nominale*Simulation!N45+Puissance_en_economie*Simulation!O45</f>
        <v>443.0014367438481</v>
      </c>
      <c r="Q45" s="101">
        <f t="shared" si="7"/>
        <v>597.8600000956576</v>
      </c>
      <c r="R45" s="128">
        <f t="shared" si="8"/>
        <v>0.25902144871212684</v>
      </c>
    </row>
    <row r="46" spans="1:18" ht="12.75">
      <c r="A46" t="s">
        <v>207</v>
      </c>
      <c r="B46" s="116">
        <v>0.8361111111111111</v>
      </c>
      <c r="C46" s="116">
        <v>0.9791666666666666</v>
      </c>
      <c r="D46" s="116">
        <v>0.1875</v>
      </c>
      <c r="E46" s="116">
        <v>0.3506944444444444</v>
      </c>
      <c r="F46" t="s">
        <v>157</v>
      </c>
      <c r="H46" s="59">
        <f t="shared" si="1"/>
        <v>0.02083333333333337</v>
      </c>
      <c r="I46" s="234">
        <f t="shared" si="2"/>
        <v>0.1430555555555555</v>
      </c>
      <c r="J46" s="234">
        <f t="shared" si="3"/>
        <v>-0.16319444444444442</v>
      </c>
      <c r="K46" s="121">
        <f t="shared" si="4"/>
        <v>0.3062499999999999</v>
      </c>
      <c r="L46" s="233">
        <f t="shared" si="5"/>
        <v>0.20833333333333337</v>
      </c>
      <c r="M46" s="121">
        <f t="shared" si="0"/>
        <v>0.5145833333333333</v>
      </c>
      <c r="N46" s="59">
        <f t="shared" si="6"/>
        <v>7.3500000011759985</v>
      </c>
      <c r="O46" s="59">
        <f t="shared" si="6"/>
        <v>5.000000000800001</v>
      </c>
      <c r="P46" s="101">
        <f>Puissance_en_nominale*Simulation!N46+Puissance_en_economie*Simulation!O46</f>
        <v>460.40384695457203</v>
      </c>
      <c r="Q46" s="101">
        <f t="shared" si="7"/>
        <v>618.7350000989977</v>
      </c>
      <c r="R46" s="128">
        <f t="shared" si="8"/>
        <v>0.25589493582728096</v>
      </c>
    </row>
    <row r="47" spans="1:18" ht="12.75">
      <c r="A47" t="s">
        <v>208</v>
      </c>
      <c r="B47" s="116">
        <v>0.8152777777777778</v>
      </c>
      <c r="C47" s="116">
        <v>0.9583333333333334</v>
      </c>
      <c r="D47" s="116">
        <v>0.20833333333333334</v>
      </c>
      <c r="E47" s="116">
        <v>0.3506944444444444</v>
      </c>
      <c r="F47" t="s">
        <v>180</v>
      </c>
      <c r="H47" s="59">
        <f t="shared" si="1"/>
        <v>0.04166666666666663</v>
      </c>
      <c r="I47" s="234">
        <f t="shared" si="2"/>
        <v>0.1430555555555556</v>
      </c>
      <c r="J47" s="234">
        <f t="shared" si="3"/>
        <v>-0.14236111111111108</v>
      </c>
      <c r="K47" s="121">
        <f t="shared" si="4"/>
        <v>0.28541666666666665</v>
      </c>
      <c r="L47" s="233">
        <f t="shared" si="5"/>
        <v>0.24999999999999997</v>
      </c>
      <c r="M47" s="121">
        <f t="shared" si="0"/>
        <v>0.5354166666666667</v>
      </c>
      <c r="N47" s="59">
        <f t="shared" si="6"/>
        <v>6.850000001096</v>
      </c>
      <c r="O47" s="59">
        <f t="shared" si="6"/>
        <v>6.00000000096</v>
      </c>
      <c r="P47" s="101">
        <f>Puissance_en_nominale*Simulation!N47+Puissance_en_economie*Simulation!O47</f>
        <v>470.2060208691839</v>
      </c>
      <c r="Q47" s="101">
        <f t="shared" si="7"/>
        <v>643.7850001030057</v>
      </c>
      <c r="R47" s="128">
        <f t="shared" si="8"/>
        <v>0.2696225901598347</v>
      </c>
    </row>
    <row r="48" spans="1:18" ht="12.75">
      <c r="A48" t="s">
        <v>209</v>
      </c>
      <c r="B48" s="116">
        <v>0.8159722222222222</v>
      </c>
      <c r="C48" s="116">
        <v>0.9583333333333334</v>
      </c>
      <c r="D48" s="116">
        <v>0.20833333333333334</v>
      </c>
      <c r="E48" s="116">
        <v>0.3333333333333333</v>
      </c>
      <c r="F48" t="s">
        <v>180</v>
      </c>
      <c r="H48" s="59">
        <f t="shared" si="1"/>
        <v>0.04166666666666663</v>
      </c>
      <c r="I48" s="234">
        <f t="shared" si="2"/>
        <v>0.14236111111111116</v>
      </c>
      <c r="J48" s="234">
        <f t="shared" si="3"/>
        <v>-0.12499999999999997</v>
      </c>
      <c r="K48" s="121">
        <f t="shared" si="4"/>
        <v>0.26736111111111116</v>
      </c>
      <c r="L48" s="233">
        <f t="shared" si="5"/>
        <v>0.24999999999999997</v>
      </c>
      <c r="M48" s="121">
        <f t="shared" si="0"/>
        <v>0.5173611111111112</v>
      </c>
      <c r="N48" s="59">
        <f t="shared" si="6"/>
        <v>6.416666667693335</v>
      </c>
      <c r="O48" s="59">
        <f t="shared" si="6"/>
        <v>6.00000000096</v>
      </c>
      <c r="P48" s="101">
        <f>Puissance_en_nominale*Simulation!N48+Puissance_en_economie*Simulation!O48</f>
        <v>452.10751425003104</v>
      </c>
      <c r="Q48" s="101">
        <f t="shared" si="7"/>
        <v>622.0750000995322</v>
      </c>
      <c r="R48" s="128">
        <f t="shared" si="8"/>
        <v>0.2732266781695234</v>
      </c>
    </row>
    <row r="49" spans="1:18" ht="12.75">
      <c r="A49" t="s">
        <v>210</v>
      </c>
      <c r="B49" s="116">
        <v>0.8368055555555555</v>
      </c>
      <c r="C49" s="116">
        <v>0.9791666666666666</v>
      </c>
      <c r="D49" s="116">
        <v>0.1875</v>
      </c>
      <c r="E49" s="116">
        <v>0.3333333333333333</v>
      </c>
      <c r="F49" t="s">
        <v>157</v>
      </c>
      <c r="H49" s="59">
        <f t="shared" si="1"/>
        <v>0.02083333333333337</v>
      </c>
      <c r="I49" s="234">
        <f t="shared" si="2"/>
        <v>0.14236111111111116</v>
      </c>
      <c r="J49" s="234">
        <f t="shared" si="3"/>
        <v>-0.14583333333333331</v>
      </c>
      <c r="K49" s="121">
        <f t="shared" si="4"/>
        <v>0.2881944444444445</v>
      </c>
      <c r="L49" s="233">
        <f t="shared" si="5"/>
        <v>0.20833333333333337</v>
      </c>
      <c r="M49" s="121">
        <f t="shared" si="0"/>
        <v>0.49652777777777785</v>
      </c>
      <c r="N49" s="59">
        <f t="shared" si="6"/>
        <v>6.916666667773335</v>
      </c>
      <c r="O49" s="59">
        <f t="shared" si="6"/>
        <v>5.000000000800001</v>
      </c>
      <c r="P49" s="101">
        <f>Puissance_en_nominale*Simulation!N49+Puissance_en_economie*Simulation!O49</f>
        <v>442.30534033541926</v>
      </c>
      <c r="Q49" s="101">
        <f t="shared" si="7"/>
        <v>597.0250000955242</v>
      </c>
      <c r="R49" s="128">
        <f t="shared" si="8"/>
        <v>0.25915105688262596</v>
      </c>
    </row>
    <row r="50" spans="1:18" ht="12.75">
      <c r="A50" t="s">
        <v>211</v>
      </c>
      <c r="B50" s="116">
        <v>0.8368055555555555</v>
      </c>
      <c r="C50" s="116">
        <v>0.9791666666666666</v>
      </c>
      <c r="D50" s="116">
        <v>0.1875</v>
      </c>
      <c r="E50" s="116">
        <v>0.3340277777777778</v>
      </c>
      <c r="F50" t="s">
        <v>157</v>
      </c>
      <c r="H50" s="59">
        <f t="shared" si="1"/>
        <v>0.02083333333333337</v>
      </c>
      <c r="I50" s="234">
        <f t="shared" si="2"/>
        <v>0.14236111111111116</v>
      </c>
      <c r="J50" s="234">
        <f t="shared" si="3"/>
        <v>-0.1465277777777778</v>
      </c>
      <c r="K50" s="121">
        <f t="shared" si="4"/>
        <v>0.288888888888889</v>
      </c>
      <c r="L50" s="233">
        <f t="shared" si="5"/>
        <v>0.20833333333333337</v>
      </c>
      <c r="M50" s="121">
        <f t="shared" si="0"/>
        <v>0.49722222222222234</v>
      </c>
      <c r="N50" s="59">
        <f t="shared" si="6"/>
        <v>6.933333334442669</v>
      </c>
      <c r="O50" s="59">
        <f t="shared" si="6"/>
        <v>5.000000000800001</v>
      </c>
      <c r="P50" s="101">
        <f>Puissance_en_nominale*Simulation!N50+Puissance_en_economie*Simulation!O50</f>
        <v>443.0014367438482</v>
      </c>
      <c r="Q50" s="101">
        <f t="shared" si="7"/>
        <v>597.8600000956579</v>
      </c>
      <c r="R50" s="128">
        <f t="shared" si="8"/>
        <v>0.25902144871212707</v>
      </c>
    </row>
    <row r="51" spans="1:18" ht="12.75">
      <c r="A51" t="s">
        <v>212</v>
      </c>
      <c r="B51" s="116">
        <v>0.8368055555555555</v>
      </c>
      <c r="C51" s="116">
        <v>0.9791666666666666</v>
      </c>
      <c r="D51" s="116">
        <v>0.1875</v>
      </c>
      <c r="E51" s="116">
        <v>0.3340277777777778</v>
      </c>
      <c r="F51" t="s">
        <v>157</v>
      </c>
      <c r="H51" s="59">
        <f t="shared" si="1"/>
        <v>0.02083333333333337</v>
      </c>
      <c r="I51" s="234">
        <f t="shared" si="2"/>
        <v>0.14236111111111116</v>
      </c>
      <c r="J51" s="234">
        <f t="shared" si="3"/>
        <v>-0.1465277777777778</v>
      </c>
      <c r="K51" s="121">
        <f t="shared" si="4"/>
        <v>0.288888888888889</v>
      </c>
      <c r="L51" s="233">
        <f t="shared" si="5"/>
        <v>0.20833333333333337</v>
      </c>
      <c r="M51" s="121">
        <f t="shared" si="0"/>
        <v>0.49722222222222234</v>
      </c>
      <c r="N51" s="59">
        <f t="shared" si="6"/>
        <v>6.933333334442669</v>
      </c>
      <c r="O51" s="59">
        <f t="shared" si="6"/>
        <v>5.000000000800001</v>
      </c>
      <c r="P51" s="101">
        <f>Puissance_en_nominale*Simulation!N51+Puissance_en_economie*Simulation!O51</f>
        <v>443.0014367438482</v>
      </c>
      <c r="Q51" s="101">
        <f t="shared" si="7"/>
        <v>597.8600000956579</v>
      </c>
      <c r="R51" s="128">
        <f t="shared" si="8"/>
        <v>0.25902144871212707</v>
      </c>
    </row>
    <row r="52" spans="1:18" ht="12.75">
      <c r="A52" t="s">
        <v>213</v>
      </c>
      <c r="B52" s="116">
        <v>0.8375</v>
      </c>
      <c r="C52" s="116">
        <v>0.9791666666666666</v>
      </c>
      <c r="D52" s="116">
        <v>0.1875</v>
      </c>
      <c r="E52" s="116">
        <v>0.3340277777777778</v>
      </c>
      <c r="F52" t="s">
        <v>157</v>
      </c>
      <c r="H52" s="59">
        <f t="shared" si="1"/>
        <v>0.02083333333333337</v>
      </c>
      <c r="I52" s="234">
        <f t="shared" si="2"/>
        <v>0.1416666666666666</v>
      </c>
      <c r="J52" s="234">
        <f t="shared" si="3"/>
        <v>-0.1465277777777778</v>
      </c>
      <c r="K52" s="121">
        <f t="shared" si="4"/>
        <v>0.2881944444444444</v>
      </c>
      <c r="L52" s="233">
        <f t="shared" si="5"/>
        <v>0.20833333333333337</v>
      </c>
      <c r="M52" s="121">
        <f t="shared" si="0"/>
        <v>0.4965277777777778</v>
      </c>
      <c r="N52" s="59">
        <f t="shared" si="6"/>
        <v>6.916666667773333</v>
      </c>
      <c r="O52" s="59">
        <f t="shared" si="6"/>
        <v>5.000000000800001</v>
      </c>
      <c r="P52" s="101">
        <f>Puissance_en_nominale*Simulation!N52+Puissance_en_economie*Simulation!O52</f>
        <v>442.30534033541915</v>
      </c>
      <c r="Q52" s="101">
        <f t="shared" si="7"/>
        <v>597.0250000955242</v>
      </c>
      <c r="R52" s="128">
        <f t="shared" si="8"/>
        <v>0.2591510568826261</v>
      </c>
    </row>
    <row r="53" spans="1:18" ht="12.75">
      <c r="A53" t="s">
        <v>214</v>
      </c>
      <c r="B53" s="116">
        <v>0.8375</v>
      </c>
      <c r="C53" s="116">
        <v>0.9791666666666666</v>
      </c>
      <c r="D53" s="116">
        <v>0.1875</v>
      </c>
      <c r="E53" s="116">
        <v>0.3513888888888889</v>
      </c>
      <c r="F53" t="s">
        <v>157</v>
      </c>
      <c r="H53" s="59">
        <f t="shared" si="1"/>
        <v>0.02083333333333337</v>
      </c>
      <c r="I53" s="234">
        <f t="shared" si="2"/>
        <v>0.1416666666666666</v>
      </c>
      <c r="J53" s="234">
        <f t="shared" si="3"/>
        <v>-0.16388888888888892</v>
      </c>
      <c r="K53" s="121">
        <f t="shared" si="4"/>
        <v>0.3055555555555555</v>
      </c>
      <c r="L53" s="233">
        <f t="shared" si="5"/>
        <v>0.20833333333333337</v>
      </c>
      <c r="M53" s="121">
        <f t="shared" si="0"/>
        <v>0.5138888888888888</v>
      </c>
      <c r="N53" s="59">
        <f t="shared" si="6"/>
        <v>7.3333333345066665</v>
      </c>
      <c r="O53" s="59">
        <f t="shared" si="6"/>
        <v>5.000000000800001</v>
      </c>
      <c r="P53" s="101">
        <f>Puissance_en_nominale*Simulation!N53+Puissance_en_economie*Simulation!O53</f>
        <v>459.7077505461431</v>
      </c>
      <c r="Q53" s="101">
        <f t="shared" si="7"/>
        <v>617.9000000988641</v>
      </c>
      <c r="R53" s="128">
        <f t="shared" si="8"/>
        <v>0.2560159403259593</v>
      </c>
    </row>
    <row r="54" spans="1:18" ht="12.75">
      <c r="A54" t="s">
        <v>215</v>
      </c>
      <c r="B54" s="116">
        <v>0.8166666666666668</v>
      </c>
      <c r="C54" s="116">
        <v>0.9583333333333334</v>
      </c>
      <c r="D54" s="116">
        <v>0.20833333333333334</v>
      </c>
      <c r="E54" s="116">
        <v>0.3513888888888889</v>
      </c>
      <c r="F54" t="s">
        <v>180</v>
      </c>
      <c r="H54" s="59">
        <f t="shared" si="1"/>
        <v>0.04166666666666663</v>
      </c>
      <c r="I54" s="234">
        <f t="shared" si="2"/>
        <v>0.1416666666666666</v>
      </c>
      <c r="J54" s="234">
        <f t="shared" si="3"/>
        <v>-0.14305555555555557</v>
      </c>
      <c r="K54" s="121">
        <f t="shared" si="4"/>
        <v>0.2847222222222222</v>
      </c>
      <c r="L54" s="233">
        <f t="shared" si="5"/>
        <v>0.24999999999999997</v>
      </c>
      <c r="M54" s="121">
        <f t="shared" si="0"/>
        <v>0.5347222222222222</v>
      </c>
      <c r="N54" s="59">
        <f t="shared" si="6"/>
        <v>6.8333333344266665</v>
      </c>
      <c r="O54" s="59">
        <f t="shared" si="6"/>
        <v>6.00000000096</v>
      </c>
      <c r="P54" s="101">
        <f>Puissance_en_nominale*Simulation!N54+Puissance_en_economie*Simulation!O54</f>
        <v>469.50992446075486</v>
      </c>
      <c r="Q54" s="101">
        <f t="shared" si="7"/>
        <v>642.9500001028721</v>
      </c>
      <c r="R54" s="128">
        <f t="shared" si="8"/>
        <v>0.2697567083200354</v>
      </c>
    </row>
    <row r="55" spans="1:18" ht="12.75">
      <c r="A55" t="s">
        <v>216</v>
      </c>
      <c r="B55" s="116">
        <v>0.8166666666666668</v>
      </c>
      <c r="C55" s="116">
        <v>0.9583333333333334</v>
      </c>
      <c r="D55" s="116">
        <v>0.20833333333333334</v>
      </c>
      <c r="E55" s="116">
        <v>0.3347222222222222</v>
      </c>
      <c r="F55" t="s">
        <v>180</v>
      </c>
      <c r="H55" s="59">
        <f t="shared" si="1"/>
        <v>0.04166666666666663</v>
      </c>
      <c r="I55" s="234">
        <f t="shared" si="2"/>
        <v>0.1416666666666666</v>
      </c>
      <c r="J55" s="234">
        <f t="shared" si="3"/>
        <v>-0.12638888888888886</v>
      </c>
      <c r="K55" s="121">
        <f t="shared" si="4"/>
        <v>0.2680555555555555</v>
      </c>
      <c r="L55" s="233">
        <f t="shared" si="5"/>
        <v>0.24999999999999997</v>
      </c>
      <c r="M55" s="121">
        <f t="shared" si="0"/>
        <v>0.5180555555555555</v>
      </c>
      <c r="N55" s="59">
        <f t="shared" si="6"/>
        <v>6.433333334362666</v>
      </c>
      <c r="O55" s="59">
        <f t="shared" si="6"/>
        <v>6.00000000096</v>
      </c>
      <c r="P55" s="101">
        <f>Puissance_en_nominale*Simulation!N55+Puissance_en_economie*Simulation!O55</f>
        <v>452.8036106584599</v>
      </c>
      <c r="Q55" s="101">
        <f t="shared" si="7"/>
        <v>622.9100000996656</v>
      </c>
      <c r="R55" s="128">
        <f t="shared" si="8"/>
        <v>0.2730834139987939</v>
      </c>
    </row>
    <row r="56" spans="1:18" ht="12.75">
      <c r="A56" t="s">
        <v>217</v>
      </c>
      <c r="B56" s="116">
        <v>0.8375</v>
      </c>
      <c r="C56" s="116">
        <v>0.9791666666666666</v>
      </c>
      <c r="D56" s="116">
        <v>0.1875</v>
      </c>
      <c r="E56" s="116">
        <v>0.3347222222222222</v>
      </c>
      <c r="F56" t="s">
        <v>157</v>
      </c>
      <c r="H56" s="59">
        <f t="shared" si="1"/>
        <v>0.02083333333333337</v>
      </c>
      <c r="I56" s="234">
        <f t="shared" si="2"/>
        <v>0.1416666666666666</v>
      </c>
      <c r="J56" s="234">
        <f t="shared" si="3"/>
        <v>-0.1472222222222222</v>
      </c>
      <c r="K56" s="121">
        <f t="shared" si="4"/>
        <v>0.2888888888888888</v>
      </c>
      <c r="L56" s="233">
        <f t="shared" si="5"/>
        <v>0.20833333333333337</v>
      </c>
      <c r="M56" s="121">
        <f t="shared" si="0"/>
        <v>0.4972222222222222</v>
      </c>
      <c r="N56" s="59">
        <f t="shared" si="6"/>
        <v>6.933333334442665</v>
      </c>
      <c r="O56" s="59">
        <f t="shared" si="6"/>
        <v>5.000000000800001</v>
      </c>
      <c r="P56" s="101">
        <f>Puissance_en_nominale*Simulation!N56+Puissance_en_economie*Simulation!O56</f>
        <v>443.0014367438481</v>
      </c>
      <c r="Q56" s="101">
        <f t="shared" si="7"/>
        <v>597.8600000956576</v>
      </c>
      <c r="R56" s="128">
        <f t="shared" si="8"/>
        <v>0.25902144871212684</v>
      </c>
    </row>
    <row r="57" spans="1:18" ht="12.75">
      <c r="A57" t="s">
        <v>218</v>
      </c>
      <c r="B57" s="116">
        <v>0.8375</v>
      </c>
      <c r="C57" s="116">
        <v>0.9791666666666666</v>
      </c>
      <c r="D57" s="116">
        <v>0.1875</v>
      </c>
      <c r="E57" s="116">
        <v>0.3347222222222222</v>
      </c>
      <c r="F57" t="s">
        <v>157</v>
      </c>
      <c r="H57" s="59">
        <f t="shared" si="1"/>
        <v>0.02083333333333337</v>
      </c>
      <c r="I57" s="234">
        <f t="shared" si="2"/>
        <v>0.1416666666666666</v>
      </c>
      <c r="J57" s="234">
        <f t="shared" si="3"/>
        <v>-0.1472222222222222</v>
      </c>
      <c r="K57" s="121">
        <f t="shared" si="4"/>
        <v>0.2888888888888888</v>
      </c>
      <c r="L57" s="233">
        <f t="shared" si="5"/>
        <v>0.20833333333333337</v>
      </c>
      <c r="M57" s="121">
        <f t="shared" si="0"/>
        <v>0.4972222222222222</v>
      </c>
      <c r="N57" s="59">
        <f t="shared" si="6"/>
        <v>6.933333334442665</v>
      </c>
      <c r="O57" s="59">
        <f t="shared" si="6"/>
        <v>5.000000000800001</v>
      </c>
      <c r="P57" s="101">
        <f>Puissance_en_nominale*Simulation!N57+Puissance_en_economie*Simulation!O57</f>
        <v>443.0014367438481</v>
      </c>
      <c r="Q57" s="101">
        <f t="shared" si="7"/>
        <v>597.8600000956576</v>
      </c>
      <c r="R57" s="128">
        <f t="shared" si="8"/>
        <v>0.25902144871212684</v>
      </c>
    </row>
    <row r="58" spans="1:18" ht="12.75">
      <c r="A58" t="s">
        <v>219</v>
      </c>
      <c r="B58" s="116">
        <v>0.8381944444444445</v>
      </c>
      <c r="C58" s="116">
        <v>0.9791666666666666</v>
      </c>
      <c r="D58" s="116">
        <v>0.1875</v>
      </c>
      <c r="E58" s="116">
        <v>0.3347222222222222</v>
      </c>
      <c r="F58" t="s">
        <v>157</v>
      </c>
      <c r="H58" s="59">
        <f t="shared" si="1"/>
        <v>0.02083333333333337</v>
      </c>
      <c r="I58" s="234">
        <f t="shared" si="2"/>
        <v>0.14097222222222217</v>
      </c>
      <c r="J58" s="234">
        <f t="shared" si="3"/>
        <v>-0.1472222222222222</v>
      </c>
      <c r="K58" s="121">
        <f t="shared" si="4"/>
        <v>0.28819444444444436</v>
      </c>
      <c r="L58" s="233">
        <f t="shared" si="5"/>
        <v>0.20833333333333337</v>
      </c>
      <c r="M58" s="121">
        <f t="shared" si="0"/>
        <v>0.49652777777777773</v>
      </c>
      <c r="N58" s="59">
        <f t="shared" si="6"/>
        <v>6.916666667773332</v>
      </c>
      <c r="O58" s="59">
        <f t="shared" si="6"/>
        <v>5.000000000800001</v>
      </c>
      <c r="P58" s="101">
        <f>Puissance_en_nominale*Simulation!N58+Puissance_en_economie*Simulation!O58</f>
        <v>442.30534033541915</v>
      </c>
      <c r="Q58" s="101">
        <f t="shared" si="7"/>
        <v>597.0250000955241</v>
      </c>
      <c r="R58" s="128">
        <f t="shared" si="8"/>
        <v>0.25915105688262596</v>
      </c>
    </row>
    <row r="59" spans="1:18" ht="12.75">
      <c r="A59" t="s">
        <v>220</v>
      </c>
      <c r="B59" s="116">
        <v>0.8381944444444445</v>
      </c>
      <c r="C59" s="116">
        <v>0.9791666666666666</v>
      </c>
      <c r="D59" s="116">
        <v>0.1875</v>
      </c>
      <c r="E59" s="116">
        <v>0.3347222222222222</v>
      </c>
      <c r="F59" t="s">
        <v>157</v>
      </c>
      <c r="H59" s="59">
        <f t="shared" si="1"/>
        <v>0.02083333333333337</v>
      </c>
      <c r="I59" s="234">
        <f t="shared" si="2"/>
        <v>0.14097222222222217</v>
      </c>
      <c r="J59" s="234">
        <f t="shared" si="3"/>
        <v>-0.1472222222222222</v>
      </c>
      <c r="K59" s="121">
        <f t="shared" si="4"/>
        <v>0.28819444444444436</v>
      </c>
      <c r="L59" s="233">
        <f t="shared" si="5"/>
        <v>0.20833333333333337</v>
      </c>
      <c r="M59" s="121">
        <f t="shared" si="0"/>
        <v>0.49652777777777773</v>
      </c>
      <c r="N59" s="59">
        <f t="shared" si="6"/>
        <v>6.916666667773332</v>
      </c>
      <c r="O59" s="59">
        <f t="shared" si="6"/>
        <v>5.000000000800001</v>
      </c>
      <c r="P59" s="101">
        <f>Puissance_en_nominale*Simulation!N59+Puissance_en_economie*Simulation!O59</f>
        <v>442.30534033541915</v>
      </c>
      <c r="Q59" s="101">
        <f t="shared" si="7"/>
        <v>597.0250000955241</v>
      </c>
      <c r="R59" s="128">
        <f t="shared" si="8"/>
        <v>0.25915105688262596</v>
      </c>
    </row>
    <row r="60" spans="1:18" ht="12.75">
      <c r="A60" t="s">
        <v>221</v>
      </c>
      <c r="B60" s="116">
        <v>0.8381944444444445</v>
      </c>
      <c r="C60" s="116">
        <v>0.9791666666666666</v>
      </c>
      <c r="D60" s="116">
        <v>0.1875</v>
      </c>
      <c r="E60" s="116">
        <v>0.3527777777777778</v>
      </c>
      <c r="F60" t="s">
        <v>157</v>
      </c>
      <c r="H60" s="59">
        <f t="shared" si="1"/>
        <v>0.02083333333333337</v>
      </c>
      <c r="I60" s="234">
        <f t="shared" si="2"/>
        <v>0.14097222222222217</v>
      </c>
      <c r="J60" s="234">
        <f t="shared" si="3"/>
        <v>-0.1652777777777778</v>
      </c>
      <c r="K60" s="121">
        <f t="shared" si="4"/>
        <v>0.30624999999999997</v>
      </c>
      <c r="L60" s="233">
        <f t="shared" si="5"/>
        <v>0.20833333333333337</v>
      </c>
      <c r="M60" s="121">
        <f t="shared" si="0"/>
        <v>0.5145833333333334</v>
      </c>
      <c r="N60" s="59">
        <f t="shared" si="6"/>
        <v>7.350000001175999</v>
      </c>
      <c r="O60" s="59">
        <f t="shared" si="6"/>
        <v>5.000000000800001</v>
      </c>
      <c r="P60" s="101">
        <f>Puissance_en_nominale*Simulation!N60+Puissance_en_economie*Simulation!O60</f>
        <v>460.40384695457203</v>
      </c>
      <c r="Q60" s="101">
        <f t="shared" si="7"/>
        <v>618.7350000989977</v>
      </c>
      <c r="R60" s="128">
        <f t="shared" si="8"/>
        <v>0.25589493582728096</v>
      </c>
    </row>
    <row r="61" spans="1:18" ht="12.75">
      <c r="A61" t="s">
        <v>222</v>
      </c>
      <c r="B61" s="116">
        <v>0.8173611111111111</v>
      </c>
      <c r="C61" s="116">
        <v>0.9583333333333334</v>
      </c>
      <c r="D61" s="116">
        <v>0.20833333333333334</v>
      </c>
      <c r="E61" s="116">
        <v>0.3527777777777778</v>
      </c>
      <c r="F61" t="s">
        <v>180</v>
      </c>
      <c r="H61" s="59">
        <f t="shared" si="1"/>
        <v>0.04166666666666663</v>
      </c>
      <c r="I61" s="234">
        <f t="shared" si="2"/>
        <v>0.14097222222222228</v>
      </c>
      <c r="J61" s="234">
        <f t="shared" si="3"/>
        <v>-0.14444444444444446</v>
      </c>
      <c r="K61" s="121">
        <f t="shared" si="4"/>
        <v>0.28541666666666676</v>
      </c>
      <c r="L61" s="233">
        <f t="shared" si="5"/>
        <v>0.24999999999999997</v>
      </c>
      <c r="M61" s="121">
        <f t="shared" si="0"/>
        <v>0.5354166666666668</v>
      </c>
      <c r="N61" s="59">
        <f t="shared" si="6"/>
        <v>6.850000001096003</v>
      </c>
      <c r="O61" s="59">
        <f t="shared" si="6"/>
        <v>6.00000000096</v>
      </c>
      <c r="P61" s="101">
        <f>Puissance_en_nominale*Simulation!N61+Puissance_en_economie*Simulation!O61</f>
        <v>470.206020869184</v>
      </c>
      <c r="Q61" s="101">
        <f t="shared" si="7"/>
        <v>643.7850001030058</v>
      </c>
      <c r="R61" s="128">
        <f t="shared" si="8"/>
        <v>0.2696225901598346</v>
      </c>
    </row>
    <row r="62" spans="1:18" ht="12.75">
      <c r="A62" t="s">
        <v>223</v>
      </c>
      <c r="B62" s="116">
        <v>0.8173611111111111</v>
      </c>
      <c r="C62" s="116">
        <v>0.9583333333333334</v>
      </c>
      <c r="D62" s="116">
        <v>0.20833333333333334</v>
      </c>
      <c r="E62" s="116">
        <v>0.3354166666666667</v>
      </c>
      <c r="F62" t="s">
        <v>180</v>
      </c>
      <c r="H62" s="59">
        <f t="shared" si="1"/>
        <v>0.04166666666666663</v>
      </c>
      <c r="I62" s="234">
        <f t="shared" si="2"/>
        <v>0.14097222222222228</v>
      </c>
      <c r="J62" s="234">
        <f t="shared" si="3"/>
        <v>-0.12708333333333335</v>
      </c>
      <c r="K62" s="121">
        <f t="shared" si="4"/>
        <v>0.2680555555555556</v>
      </c>
      <c r="L62" s="233">
        <f t="shared" si="5"/>
        <v>0.24999999999999997</v>
      </c>
      <c r="M62" s="121">
        <f t="shared" si="0"/>
        <v>0.5180555555555556</v>
      </c>
      <c r="N62" s="59">
        <f t="shared" si="6"/>
        <v>6.433333334362668</v>
      </c>
      <c r="O62" s="59">
        <f t="shared" si="6"/>
        <v>6.00000000096</v>
      </c>
      <c r="P62" s="101">
        <f>Puissance_en_nominale*Simulation!N62+Puissance_en_economie*Simulation!O62</f>
        <v>452.80361065846</v>
      </c>
      <c r="Q62" s="101">
        <f t="shared" si="7"/>
        <v>622.9100000996658</v>
      </c>
      <c r="R62" s="128">
        <f t="shared" si="8"/>
        <v>0.2730834139987939</v>
      </c>
    </row>
    <row r="63" spans="1:18" ht="12.75">
      <c r="A63" t="s">
        <v>224</v>
      </c>
      <c r="B63" s="116">
        <v>0.8381944444444445</v>
      </c>
      <c r="C63" s="116">
        <v>0.9791666666666666</v>
      </c>
      <c r="D63" s="116">
        <v>0.1875</v>
      </c>
      <c r="E63" s="116">
        <v>0.3354166666666667</v>
      </c>
      <c r="F63" t="s">
        <v>157</v>
      </c>
      <c r="H63" s="59">
        <f t="shared" si="1"/>
        <v>0.02083333333333337</v>
      </c>
      <c r="I63" s="234">
        <f t="shared" si="2"/>
        <v>0.14097222222222217</v>
      </c>
      <c r="J63" s="234">
        <f t="shared" si="3"/>
        <v>-0.1479166666666667</v>
      </c>
      <c r="K63" s="121">
        <f t="shared" si="4"/>
        <v>0.28888888888888886</v>
      </c>
      <c r="L63" s="233">
        <f t="shared" si="5"/>
        <v>0.20833333333333337</v>
      </c>
      <c r="M63" s="121">
        <f t="shared" si="0"/>
        <v>0.49722222222222223</v>
      </c>
      <c r="N63" s="59">
        <f t="shared" si="6"/>
        <v>6.933333334442667</v>
      </c>
      <c r="O63" s="59">
        <f t="shared" si="6"/>
        <v>5.000000000800001</v>
      </c>
      <c r="P63" s="101">
        <f>Puissance_en_nominale*Simulation!N63+Puissance_en_economie*Simulation!O63</f>
        <v>443.0014367438481</v>
      </c>
      <c r="Q63" s="101">
        <f t="shared" si="7"/>
        <v>597.8600000956578</v>
      </c>
      <c r="R63" s="128">
        <f t="shared" si="8"/>
        <v>0.25902144871212707</v>
      </c>
    </row>
    <row r="64" spans="1:18" ht="12.75">
      <c r="A64" t="s">
        <v>225</v>
      </c>
      <c r="B64" s="116">
        <v>0.8388888888888889</v>
      </c>
      <c r="C64" s="116">
        <v>0.9791666666666666</v>
      </c>
      <c r="D64" s="116">
        <v>0.1875</v>
      </c>
      <c r="E64" s="116">
        <v>0.3354166666666667</v>
      </c>
      <c r="F64" t="s">
        <v>157</v>
      </c>
      <c r="H64" s="59">
        <f t="shared" si="1"/>
        <v>0.02083333333333337</v>
      </c>
      <c r="I64" s="234">
        <f t="shared" si="2"/>
        <v>0.14027777777777772</v>
      </c>
      <c r="J64" s="234">
        <f t="shared" si="3"/>
        <v>-0.1479166666666667</v>
      </c>
      <c r="K64" s="121">
        <f t="shared" si="4"/>
        <v>0.2881944444444444</v>
      </c>
      <c r="L64" s="233">
        <f t="shared" si="5"/>
        <v>0.20833333333333337</v>
      </c>
      <c r="M64" s="121">
        <f t="shared" si="0"/>
        <v>0.4965277777777778</v>
      </c>
      <c r="N64" s="59">
        <f t="shared" si="6"/>
        <v>6.916666667773333</v>
      </c>
      <c r="O64" s="59">
        <f t="shared" si="6"/>
        <v>5.000000000800001</v>
      </c>
      <c r="P64" s="101">
        <f>Puissance_en_nominale*Simulation!N64+Puissance_en_economie*Simulation!O64</f>
        <v>442.30534033541915</v>
      </c>
      <c r="Q64" s="101">
        <f t="shared" si="7"/>
        <v>597.0250000955242</v>
      </c>
      <c r="R64" s="128">
        <f t="shared" si="8"/>
        <v>0.2591510568826261</v>
      </c>
    </row>
    <row r="65" spans="1:18" ht="12.75">
      <c r="A65" t="s">
        <v>226</v>
      </c>
      <c r="B65" s="116">
        <v>0.8388888888888889</v>
      </c>
      <c r="C65" s="116">
        <v>0.9791666666666666</v>
      </c>
      <c r="D65" s="116">
        <v>0.1875</v>
      </c>
      <c r="E65" s="116">
        <v>0.3354166666666667</v>
      </c>
      <c r="F65" t="s">
        <v>157</v>
      </c>
      <c r="H65" s="59">
        <f t="shared" si="1"/>
        <v>0.02083333333333337</v>
      </c>
      <c r="I65" s="234">
        <f t="shared" si="2"/>
        <v>0.14027777777777772</v>
      </c>
      <c r="J65" s="234">
        <f t="shared" si="3"/>
        <v>-0.1479166666666667</v>
      </c>
      <c r="K65" s="121">
        <f t="shared" si="4"/>
        <v>0.2881944444444444</v>
      </c>
      <c r="L65" s="233">
        <f t="shared" si="5"/>
        <v>0.20833333333333337</v>
      </c>
      <c r="M65" s="121">
        <f t="shared" si="0"/>
        <v>0.4965277777777778</v>
      </c>
      <c r="N65" s="59">
        <f t="shared" si="6"/>
        <v>6.916666667773333</v>
      </c>
      <c r="O65" s="59">
        <f t="shared" si="6"/>
        <v>5.000000000800001</v>
      </c>
      <c r="P65" s="101">
        <f>Puissance_en_nominale*Simulation!N65+Puissance_en_economie*Simulation!O65</f>
        <v>442.30534033541915</v>
      </c>
      <c r="Q65" s="101">
        <f t="shared" si="7"/>
        <v>597.0250000955242</v>
      </c>
      <c r="R65" s="128">
        <f t="shared" si="8"/>
        <v>0.2591510568826261</v>
      </c>
    </row>
    <row r="66" spans="1:18" ht="12.75">
      <c r="A66" t="s">
        <v>227</v>
      </c>
      <c r="B66" s="116">
        <v>0.8388888888888889</v>
      </c>
      <c r="C66" s="116">
        <v>0.9791666666666666</v>
      </c>
      <c r="D66" s="116">
        <v>0.1875</v>
      </c>
      <c r="E66" s="116">
        <v>0.3354166666666667</v>
      </c>
      <c r="F66" t="s">
        <v>157</v>
      </c>
      <c r="H66" s="59">
        <f t="shared" si="1"/>
        <v>0.02083333333333337</v>
      </c>
      <c r="I66" s="234">
        <f t="shared" si="2"/>
        <v>0.14027777777777772</v>
      </c>
      <c r="J66" s="234">
        <f t="shared" si="3"/>
        <v>-0.1479166666666667</v>
      </c>
      <c r="K66" s="121">
        <f t="shared" si="4"/>
        <v>0.2881944444444444</v>
      </c>
      <c r="L66" s="233">
        <f t="shared" si="5"/>
        <v>0.20833333333333337</v>
      </c>
      <c r="M66" s="121">
        <f t="shared" si="0"/>
        <v>0.4965277777777778</v>
      </c>
      <c r="N66" s="59">
        <f t="shared" si="6"/>
        <v>6.916666667773333</v>
      </c>
      <c r="O66" s="59">
        <f t="shared" si="6"/>
        <v>5.000000000800001</v>
      </c>
      <c r="P66" s="101">
        <f>Puissance_en_nominale*Simulation!N66+Puissance_en_economie*Simulation!O66</f>
        <v>442.30534033541915</v>
      </c>
      <c r="Q66" s="101">
        <f t="shared" si="7"/>
        <v>597.0250000955242</v>
      </c>
      <c r="R66" s="128">
        <f t="shared" si="8"/>
        <v>0.2591510568826261</v>
      </c>
    </row>
    <row r="67" spans="1:18" ht="12.75">
      <c r="A67" t="s">
        <v>228</v>
      </c>
      <c r="B67" s="116">
        <v>0.8388888888888889</v>
      </c>
      <c r="C67" s="116">
        <v>0.9791666666666666</v>
      </c>
      <c r="D67" s="116">
        <v>0.1875</v>
      </c>
      <c r="E67" s="116">
        <v>0.3534722222222222</v>
      </c>
      <c r="F67" t="s">
        <v>157</v>
      </c>
      <c r="H67" s="59">
        <f t="shared" si="1"/>
        <v>0.02083333333333337</v>
      </c>
      <c r="I67" s="234">
        <f t="shared" si="2"/>
        <v>0.14027777777777772</v>
      </c>
      <c r="J67" s="234">
        <f t="shared" si="3"/>
        <v>-0.1659722222222222</v>
      </c>
      <c r="K67" s="121">
        <f t="shared" si="4"/>
        <v>0.3062499999999999</v>
      </c>
      <c r="L67" s="233">
        <f t="shared" si="5"/>
        <v>0.20833333333333337</v>
      </c>
      <c r="M67" s="121">
        <f t="shared" si="0"/>
        <v>0.5145833333333333</v>
      </c>
      <c r="N67" s="59">
        <f t="shared" si="6"/>
        <v>7.3500000011759985</v>
      </c>
      <c r="O67" s="59">
        <f t="shared" si="6"/>
        <v>5.000000000800001</v>
      </c>
      <c r="P67" s="101">
        <f>Puissance_en_nominale*Simulation!N67+Puissance_en_economie*Simulation!O67</f>
        <v>460.40384695457203</v>
      </c>
      <c r="Q67" s="101">
        <f t="shared" si="7"/>
        <v>618.7350000989977</v>
      </c>
      <c r="R67" s="128">
        <f t="shared" si="8"/>
        <v>0.25589493582728096</v>
      </c>
    </row>
    <row r="68" spans="1:18" ht="12.75">
      <c r="A68" t="s">
        <v>229</v>
      </c>
      <c r="B68" s="116">
        <v>0.8180555555555555</v>
      </c>
      <c r="C68" s="116">
        <v>0.9583333333333334</v>
      </c>
      <c r="D68" s="116">
        <v>0.20833333333333334</v>
      </c>
      <c r="E68" s="116">
        <v>0.3534722222222222</v>
      </c>
      <c r="F68" t="s">
        <v>180</v>
      </c>
      <c r="H68" s="59">
        <f t="shared" si="1"/>
        <v>0.04166666666666663</v>
      </c>
      <c r="I68" s="234">
        <f t="shared" si="2"/>
        <v>0.14027777777777783</v>
      </c>
      <c r="J68" s="234">
        <f t="shared" si="3"/>
        <v>-0.14513888888888885</v>
      </c>
      <c r="K68" s="121">
        <f t="shared" si="4"/>
        <v>0.28541666666666665</v>
      </c>
      <c r="L68" s="233">
        <f t="shared" si="5"/>
        <v>0.24999999999999997</v>
      </c>
      <c r="M68" s="121">
        <f t="shared" si="0"/>
        <v>0.5354166666666667</v>
      </c>
      <c r="N68" s="59">
        <f t="shared" si="6"/>
        <v>6.850000001096</v>
      </c>
      <c r="O68" s="59">
        <f t="shared" si="6"/>
        <v>6.00000000096</v>
      </c>
      <c r="P68" s="101">
        <f>Puissance_en_nominale*Simulation!N68+Puissance_en_economie*Simulation!O68</f>
        <v>470.2060208691839</v>
      </c>
      <c r="Q68" s="101">
        <f t="shared" si="7"/>
        <v>643.7850001030057</v>
      </c>
      <c r="R68" s="128">
        <f t="shared" si="8"/>
        <v>0.2696225901598347</v>
      </c>
    </row>
    <row r="69" spans="1:18" ht="12.75">
      <c r="A69" t="s">
        <v>230</v>
      </c>
      <c r="B69" s="116">
        <v>0.8180555555555555</v>
      </c>
      <c r="C69" s="116">
        <v>0.9583333333333334</v>
      </c>
      <c r="D69" s="116">
        <v>0.20833333333333334</v>
      </c>
      <c r="E69" s="116">
        <v>0.3361111111111111</v>
      </c>
      <c r="F69" t="s">
        <v>180</v>
      </c>
      <c r="H69" s="59">
        <f t="shared" si="1"/>
        <v>0.04166666666666663</v>
      </c>
      <c r="I69" s="234">
        <f t="shared" si="2"/>
        <v>0.14027777777777783</v>
      </c>
      <c r="J69" s="234">
        <f t="shared" si="3"/>
        <v>-0.12777777777777774</v>
      </c>
      <c r="K69" s="121">
        <f t="shared" si="4"/>
        <v>0.2680555555555556</v>
      </c>
      <c r="L69" s="233">
        <f t="shared" si="5"/>
        <v>0.24999999999999997</v>
      </c>
      <c r="M69" s="121">
        <f t="shared" si="0"/>
        <v>0.5180555555555556</v>
      </c>
      <c r="N69" s="59">
        <f t="shared" si="6"/>
        <v>6.433333334362668</v>
      </c>
      <c r="O69" s="59">
        <f t="shared" si="6"/>
        <v>6.00000000096</v>
      </c>
      <c r="P69" s="101">
        <f>Puissance_en_nominale*Simulation!N69+Puissance_en_economie*Simulation!O69</f>
        <v>452.80361065846</v>
      </c>
      <c r="Q69" s="101">
        <f t="shared" si="7"/>
        <v>622.9100000996658</v>
      </c>
      <c r="R69" s="128">
        <f t="shared" si="8"/>
        <v>0.2730834139987939</v>
      </c>
    </row>
    <row r="70" spans="1:18" ht="12.75">
      <c r="A70" t="s">
        <v>231</v>
      </c>
      <c r="B70" s="116">
        <v>0.8388888888888889</v>
      </c>
      <c r="C70" s="116">
        <v>0.9791666666666666</v>
      </c>
      <c r="D70" s="116">
        <v>0.1875</v>
      </c>
      <c r="E70" s="116">
        <v>0.3361111111111111</v>
      </c>
      <c r="F70" t="s">
        <v>157</v>
      </c>
      <c r="H70" s="59">
        <f t="shared" si="1"/>
        <v>0.02083333333333337</v>
      </c>
      <c r="I70" s="234">
        <f t="shared" si="2"/>
        <v>0.14027777777777772</v>
      </c>
      <c r="J70" s="234">
        <f t="shared" si="3"/>
        <v>-0.14861111111111108</v>
      </c>
      <c r="K70" s="121">
        <f t="shared" si="4"/>
        <v>0.2888888888888888</v>
      </c>
      <c r="L70" s="233">
        <f t="shared" si="5"/>
        <v>0.20833333333333337</v>
      </c>
      <c r="M70" s="121">
        <f t="shared" si="0"/>
        <v>0.4972222222222222</v>
      </c>
      <c r="N70" s="59">
        <f t="shared" si="6"/>
        <v>6.933333334442665</v>
      </c>
      <c r="O70" s="59">
        <f t="shared" si="6"/>
        <v>5.000000000800001</v>
      </c>
      <c r="P70" s="101">
        <f>Puissance_en_nominale*Simulation!N70+Puissance_en_economie*Simulation!O70</f>
        <v>443.0014367438481</v>
      </c>
      <c r="Q70" s="101">
        <f t="shared" si="7"/>
        <v>597.8600000956576</v>
      </c>
      <c r="R70" s="128">
        <f t="shared" si="8"/>
        <v>0.25902144871212684</v>
      </c>
    </row>
    <row r="71" spans="1:18" ht="12.75">
      <c r="A71" t="s">
        <v>232</v>
      </c>
      <c r="B71" s="116">
        <v>0.8388888888888889</v>
      </c>
      <c r="C71" s="116">
        <v>0.9791666666666666</v>
      </c>
      <c r="D71" s="116">
        <v>0.1875</v>
      </c>
      <c r="E71" s="116">
        <v>0.3361111111111111</v>
      </c>
      <c r="F71" t="s">
        <v>157</v>
      </c>
      <c r="H71" s="59">
        <f t="shared" si="1"/>
        <v>0.02083333333333337</v>
      </c>
      <c r="I71" s="234">
        <f t="shared" si="2"/>
        <v>0.14027777777777772</v>
      </c>
      <c r="J71" s="234">
        <f t="shared" si="3"/>
        <v>-0.14861111111111108</v>
      </c>
      <c r="K71" s="121">
        <f t="shared" si="4"/>
        <v>0.2888888888888888</v>
      </c>
      <c r="L71" s="233">
        <f t="shared" si="5"/>
        <v>0.20833333333333337</v>
      </c>
      <c r="M71" s="121">
        <f t="shared" si="0"/>
        <v>0.4972222222222222</v>
      </c>
      <c r="N71" s="59">
        <f t="shared" si="6"/>
        <v>6.933333334442665</v>
      </c>
      <c r="O71" s="59">
        <f t="shared" si="6"/>
        <v>5.000000000800001</v>
      </c>
      <c r="P71" s="101">
        <f>Puissance_en_nominale*Simulation!N71+Puissance_en_economie*Simulation!O71</f>
        <v>443.0014367438481</v>
      </c>
      <c r="Q71" s="101">
        <f t="shared" si="7"/>
        <v>597.8600000956576</v>
      </c>
      <c r="R71" s="128">
        <f t="shared" si="8"/>
        <v>0.25902144871212684</v>
      </c>
    </row>
    <row r="72" spans="1:18" ht="12.75">
      <c r="A72" t="s">
        <v>233</v>
      </c>
      <c r="B72" s="116">
        <v>0.8388888888888889</v>
      </c>
      <c r="C72" s="116">
        <v>0.9791666666666666</v>
      </c>
      <c r="D72" s="116">
        <v>0.1875</v>
      </c>
      <c r="E72" s="116">
        <v>0.3361111111111111</v>
      </c>
      <c r="F72" t="s">
        <v>157</v>
      </c>
      <c r="H72" s="59">
        <f t="shared" si="1"/>
        <v>0.02083333333333337</v>
      </c>
      <c r="I72" s="234">
        <f t="shared" si="2"/>
        <v>0.14027777777777772</v>
      </c>
      <c r="J72" s="234">
        <f t="shared" si="3"/>
        <v>-0.14861111111111108</v>
      </c>
      <c r="K72" s="121">
        <f t="shared" si="4"/>
        <v>0.2888888888888888</v>
      </c>
      <c r="L72" s="233">
        <f t="shared" si="5"/>
        <v>0.20833333333333337</v>
      </c>
      <c r="M72" s="121">
        <f t="shared" si="0"/>
        <v>0.4972222222222222</v>
      </c>
      <c r="N72" s="59">
        <f t="shared" si="6"/>
        <v>6.933333334442665</v>
      </c>
      <c r="O72" s="59">
        <f t="shared" si="6"/>
        <v>5.000000000800001</v>
      </c>
      <c r="P72" s="101">
        <f>Puissance_en_nominale*Simulation!N72+Puissance_en_economie*Simulation!O72</f>
        <v>443.0014367438481</v>
      </c>
      <c r="Q72" s="101">
        <f t="shared" si="7"/>
        <v>597.8600000956576</v>
      </c>
      <c r="R72" s="128">
        <f t="shared" si="8"/>
        <v>0.25902144871212684</v>
      </c>
    </row>
    <row r="73" spans="1:18" ht="12.75">
      <c r="A73" t="s">
        <v>234</v>
      </c>
      <c r="B73" s="116">
        <v>0.8388888888888889</v>
      </c>
      <c r="C73" s="116">
        <v>0.9791666666666666</v>
      </c>
      <c r="D73" s="116">
        <v>0.1875</v>
      </c>
      <c r="E73" s="116">
        <v>0.3361111111111111</v>
      </c>
      <c r="F73" t="s">
        <v>157</v>
      </c>
      <c r="H73" s="59">
        <f t="shared" si="1"/>
        <v>0.02083333333333337</v>
      </c>
      <c r="I73" s="234">
        <f t="shared" si="2"/>
        <v>0.14027777777777772</v>
      </c>
      <c r="J73" s="234">
        <f t="shared" si="3"/>
        <v>-0.14861111111111108</v>
      </c>
      <c r="K73" s="121">
        <f t="shared" si="4"/>
        <v>0.2888888888888888</v>
      </c>
      <c r="L73" s="233">
        <f t="shared" si="5"/>
        <v>0.20833333333333337</v>
      </c>
      <c r="M73" s="121">
        <f t="shared" si="0"/>
        <v>0.4972222222222222</v>
      </c>
      <c r="N73" s="59">
        <f t="shared" si="6"/>
        <v>6.933333334442665</v>
      </c>
      <c r="O73" s="59">
        <f t="shared" si="6"/>
        <v>5.000000000800001</v>
      </c>
      <c r="P73" s="101">
        <f>Puissance_en_nominale*Simulation!N73+Puissance_en_economie*Simulation!O73</f>
        <v>443.0014367438481</v>
      </c>
      <c r="Q73" s="101">
        <f t="shared" si="7"/>
        <v>597.8600000956576</v>
      </c>
      <c r="R73" s="128">
        <f t="shared" si="8"/>
        <v>0.25902144871212684</v>
      </c>
    </row>
    <row r="74" spans="1:18" ht="12.75">
      <c r="A74" t="s">
        <v>235</v>
      </c>
      <c r="B74" s="116">
        <v>0.8395833333333332</v>
      </c>
      <c r="C74" s="116">
        <v>0.9791666666666666</v>
      </c>
      <c r="D74" s="116">
        <v>0.1875</v>
      </c>
      <c r="E74" s="116">
        <v>0.3534722222222222</v>
      </c>
      <c r="F74" t="s">
        <v>157</v>
      </c>
      <c r="H74" s="59">
        <f t="shared" si="1"/>
        <v>0.02083333333333337</v>
      </c>
      <c r="I74" s="234">
        <f t="shared" si="2"/>
        <v>0.1395833333333334</v>
      </c>
      <c r="J74" s="234">
        <f t="shared" si="3"/>
        <v>-0.1659722222222222</v>
      </c>
      <c r="K74" s="121">
        <f t="shared" si="4"/>
        <v>0.3055555555555556</v>
      </c>
      <c r="L74" s="233">
        <f t="shared" si="5"/>
        <v>0.20833333333333337</v>
      </c>
      <c r="M74" s="121">
        <f t="shared" si="0"/>
        <v>0.513888888888889</v>
      </c>
      <c r="N74" s="59">
        <f t="shared" si="6"/>
        <v>7.333333334506667</v>
      </c>
      <c r="O74" s="59">
        <f t="shared" si="6"/>
        <v>5.000000000800001</v>
      </c>
      <c r="P74" s="101">
        <f>Puissance_en_nominale*Simulation!N74+Puissance_en_economie*Simulation!O74</f>
        <v>459.7077505461431</v>
      </c>
      <c r="Q74" s="101">
        <f t="shared" si="7"/>
        <v>617.9000000988642</v>
      </c>
      <c r="R74" s="128">
        <f t="shared" si="8"/>
        <v>0.2560159403259594</v>
      </c>
    </row>
    <row r="75" spans="1:18" ht="12.75">
      <c r="A75" t="s">
        <v>236</v>
      </c>
      <c r="B75" s="116">
        <v>0.81875</v>
      </c>
      <c r="C75" s="116">
        <v>0.9583333333333334</v>
      </c>
      <c r="D75" s="116">
        <v>0.20833333333333334</v>
      </c>
      <c r="E75" s="116">
        <v>0.3534722222222222</v>
      </c>
      <c r="F75" t="s">
        <v>180</v>
      </c>
      <c r="H75" s="59">
        <f t="shared" si="1"/>
        <v>0.04166666666666663</v>
      </c>
      <c r="I75" s="234">
        <f t="shared" si="2"/>
        <v>0.1395833333333334</v>
      </c>
      <c r="J75" s="234">
        <f t="shared" si="3"/>
        <v>-0.14513888888888885</v>
      </c>
      <c r="K75" s="121">
        <f t="shared" si="4"/>
        <v>0.2847222222222222</v>
      </c>
      <c r="L75" s="233">
        <f t="shared" si="5"/>
        <v>0.24999999999999997</v>
      </c>
      <c r="M75" s="121">
        <f t="shared" si="0"/>
        <v>0.5347222222222222</v>
      </c>
      <c r="N75" s="59">
        <f t="shared" si="6"/>
        <v>6.8333333344266665</v>
      </c>
      <c r="O75" s="59">
        <f t="shared" si="6"/>
        <v>6.00000000096</v>
      </c>
      <c r="P75" s="101">
        <f>Puissance_en_nominale*Simulation!N75+Puissance_en_economie*Simulation!O75</f>
        <v>469.50992446075486</v>
      </c>
      <c r="Q75" s="101">
        <f t="shared" si="7"/>
        <v>642.9500001028721</v>
      </c>
      <c r="R75" s="128">
        <f t="shared" si="8"/>
        <v>0.2697567083200354</v>
      </c>
    </row>
    <row r="76" spans="1:18" ht="12.75">
      <c r="A76" t="s">
        <v>237</v>
      </c>
      <c r="B76" s="116">
        <v>0.81875</v>
      </c>
      <c r="C76" s="116">
        <v>0.9583333333333334</v>
      </c>
      <c r="D76" s="116">
        <v>0.20833333333333334</v>
      </c>
      <c r="E76" s="116">
        <v>0.3361111111111111</v>
      </c>
      <c r="F76" t="s">
        <v>180</v>
      </c>
      <c r="H76" s="59">
        <f t="shared" si="1"/>
        <v>0.04166666666666663</v>
      </c>
      <c r="I76" s="234">
        <f t="shared" si="2"/>
        <v>0.1395833333333334</v>
      </c>
      <c r="J76" s="234">
        <f t="shared" si="3"/>
        <v>-0.12777777777777774</v>
      </c>
      <c r="K76" s="121">
        <f t="shared" si="4"/>
        <v>0.26736111111111116</v>
      </c>
      <c r="L76" s="233">
        <f t="shared" si="5"/>
        <v>0.24999999999999997</v>
      </c>
      <c r="M76" s="121">
        <f t="shared" si="0"/>
        <v>0.5173611111111112</v>
      </c>
      <c r="N76" s="59">
        <f t="shared" si="6"/>
        <v>6.416666667693335</v>
      </c>
      <c r="O76" s="59">
        <f t="shared" si="6"/>
        <v>6.00000000096</v>
      </c>
      <c r="P76" s="101">
        <f>Puissance_en_nominale*Simulation!N76+Puissance_en_economie*Simulation!O76</f>
        <v>452.10751425003104</v>
      </c>
      <c r="Q76" s="101">
        <f t="shared" si="7"/>
        <v>622.0750000995322</v>
      </c>
      <c r="R76" s="128">
        <f t="shared" si="8"/>
        <v>0.2732266781695234</v>
      </c>
    </row>
    <row r="77" spans="1:18" ht="12.75">
      <c r="A77" t="s">
        <v>238</v>
      </c>
      <c r="B77" s="116">
        <v>0.8395833333333332</v>
      </c>
      <c r="C77" s="116">
        <v>0.9791666666666666</v>
      </c>
      <c r="D77" s="116">
        <v>0.1875</v>
      </c>
      <c r="E77" s="116">
        <v>0.3361111111111111</v>
      </c>
      <c r="F77" t="s">
        <v>157</v>
      </c>
      <c r="H77" s="59">
        <f t="shared" si="1"/>
        <v>0.02083333333333337</v>
      </c>
      <c r="I77" s="234">
        <f t="shared" si="2"/>
        <v>0.1395833333333334</v>
      </c>
      <c r="J77" s="234">
        <f t="shared" si="3"/>
        <v>-0.14861111111111108</v>
      </c>
      <c r="K77" s="121">
        <f t="shared" si="4"/>
        <v>0.2881944444444445</v>
      </c>
      <c r="L77" s="233">
        <f t="shared" si="5"/>
        <v>0.20833333333333337</v>
      </c>
      <c r="M77" s="121">
        <f t="shared" si="0"/>
        <v>0.49652777777777785</v>
      </c>
      <c r="N77" s="59">
        <f t="shared" si="6"/>
        <v>6.916666667773335</v>
      </c>
      <c r="O77" s="59">
        <f t="shared" si="6"/>
        <v>5.000000000800001</v>
      </c>
      <c r="P77" s="101">
        <f>Puissance_en_nominale*Simulation!N77+Puissance_en_economie*Simulation!O77</f>
        <v>442.30534033541926</v>
      </c>
      <c r="Q77" s="101">
        <f t="shared" si="7"/>
        <v>597.0250000955242</v>
      </c>
      <c r="R77" s="128">
        <f t="shared" si="8"/>
        <v>0.25915105688262596</v>
      </c>
    </row>
    <row r="78" spans="1:18" ht="12.75">
      <c r="A78" t="s">
        <v>239</v>
      </c>
      <c r="B78" s="116">
        <v>0.8395833333333332</v>
      </c>
      <c r="C78" s="116">
        <v>0.9791666666666666</v>
      </c>
      <c r="D78" s="116">
        <v>0.1875</v>
      </c>
      <c r="E78" s="116">
        <v>0.3361111111111111</v>
      </c>
      <c r="F78" t="s">
        <v>157</v>
      </c>
      <c r="H78" s="59">
        <f t="shared" si="1"/>
        <v>0.02083333333333337</v>
      </c>
      <c r="I78" s="234">
        <f t="shared" si="2"/>
        <v>0.1395833333333334</v>
      </c>
      <c r="J78" s="234">
        <f t="shared" si="3"/>
        <v>-0.14861111111111108</v>
      </c>
      <c r="K78" s="121">
        <f t="shared" si="4"/>
        <v>0.2881944444444445</v>
      </c>
      <c r="L78" s="233">
        <f t="shared" si="5"/>
        <v>0.20833333333333337</v>
      </c>
      <c r="M78" s="121">
        <f t="shared" si="0"/>
        <v>0.49652777777777785</v>
      </c>
      <c r="N78" s="59">
        <f t="shared" si="6"/>
        <v>6.916666667773335</v>
      </c>
      <c r="O78" s="59">
        <f t="shared" si="6"/>
        <v>5.000000000800001</v>
      </c>
      <c r="P78" s="101">
        <f>Puissance_en_nominale*Simulation!N78+Puissance_en_economie*Simulation!O78</f>
        <v>442.30534033541926</v>
      </c>
      <c r="Q78" s="101">
        <f t="shared" si="7"/>
        <v>597.0250000955242</v>
      </c>
      <c r="R78" s="128">
        <f t="shared" si="8"/>
        <v>0.25915105688262596</v>
      </c>
    </row>
    <row r="79" spans="1:18" ht="12.75">
      <c r="A79" t="s">
        <v>240</v>
      </c>
      <c r="B79" s="116">
        <v>0.8395833333333332</v>
      </c>
      <c r="C79" s="116">
        <v>0.9791666666666666</v>
      </c>
      <c r="D79" s="116">
        <v>0.1875</v>
      </c>
      <c r="E79" s="116">
        <v>0.3361111111111111</v>
      </c>
      <c r="F79" t="s">
        <v>157</v>
      </c>
      <c r="H79" s="59">
        <f t="shared" si="1"/>
        <v>0.02083333333333337</v>
      </c>
      <c r="I79" s="234">
        <f t="shared" si="2"/>
        <v>0.1395833333333334</v>
      </c>
      <c r="J79" s="234">
        <f t="shared" si="3"/>
        <v>-0.14861111111111108</v>
      </c>
      <c r="K79" s="121">
        <f t="shared" si="4"/>
        <v>0.2881944444444445</v>
      </c>
      <c r="L79" s="233">
        <f t="shared" si="5"/>
        <v>0.20833333333333337</v>
      </c>
      <c r="M79" s="121">
        <f aca="true" t="shared" si="9" ref="M79:M142">$K79+$L79</f>
        <v>0.49652777777777785</v>
      </c>
      <c r="N79" s="59">
        <f t="shared" si="6"/>
        <v>6.916666667773335</v>
      </c>
      <c r="O79" s="59">
        <f t="shared" si="6"/>
        <v>5.000000000800001</v>
      </c>
      <c r="P79" s="101">
        <f>Puissance_en_nominale*Simulation!N79+Puissance_en_economie*Simulation!O79</f>
        <v>442.30534033541926</v>
      </c>
      <c r="Q79" s="101">
        <f t="shared" si="7"/>
        <v>597.0250000955242</v>
      </c>
      <c r="R79" s="128">
        <f t="shared" si="8"/>
        <v>0.25915105688262596</v>
      </c>
    </row>
    <row r="80" spans="1:18" ht="12.75">
      <c r="A80" t="s">
        <v>241</v>
      </c>
      <c r="B80" s="116">
        <v>0.8395833333333332</v>
      </c>
      <c r="C80" s="116">
        <v>0.9791666666666666</v>
      </c>
      <c r="D80" s="116">
        <v>0.1875</v>
      </c>
      <c r="E80" s="116">
        <v>0.3361111111111111</v>
      </c>
      <c r="F80" t="s">
        <v>157</v>
      </c>
      <c r="H80" s="59">
        <f aca="true" t="shared" si="10" ref="H80:H143">$K$5-C80</f>
        <v>0.02083333333333337</v>
      </c>
      <c r="I80" s="234">
        <f aca="true" t="shared" si="11" ref="I80:I143">C80-B80</f>
        <v>0.1395833333333334</v>
      </c>
      <c r="J80" s="234">
        <f aca="true" t="shared" si="12" ref="J80:J143">D80-E80</f>
        <v>-0.14861111111111108</v>
      </c>
      <c r="K80" s="121">
        <f aca="true" t="shared" si="13" ref="K80:K143">IF(AND($H80&lt;0.5,$I80&gt;=0,$J80&lt;0),($C80-$B80)+($E80-$D80),IF(AND($H80&lt;0.5,$I80&gt;=0,$J80&gt;=0),($C80-$B80),IF(AND($H80&lt;0.5,$I80&lt;0,$J80&gt;=0),0,IF(AND($H80&lt;0.5,$I80&lt;0,$J80&lt;0),$E80-$D80,IF(AND($H80&gt;=0.5,$I80&lt;0,$J80&lt;0),($C80-$K$7)+($K$5-$B80)+(E80-D80),IF(AND($H80&gt;=0.5,$I80&lt;0,$J80&gt;=0),($C80-$K$7)+($K$5-$B80),0))))))</f>
        <v>0.2881944444444445</v>
      </c>
      <c r="L80" s="233">
        <f aca="true" t="shared" si="14" ref="L80:L143">IF(AND($H80&lt;0.5,$I80&gt;=0,$J80&lt;0),($K$5-$C80)+($D80-$K$7),IF(AND($H80&lt;0.5,$I80&gt;=0,$J80&gt;=0),($K$5-$C80)+($E80-$K$7),IF(AND($H80&lt;0.5,$I80&lt;0,$J80&gt;=0),($K$5-$C80)+($D80-$K$7),IF(AND($H80&lt;0.5,$I80&lt;0,$J80&lt;0),($K$5-$C80)+($D80-$K$7),IF(AND($H80&gt;=0.5,$I80&lt;0,$J80&lt;0),$D80-$C80,IF(AND($H80&gt;=0.5,$I80&lt;0,$J80&gt;=0),$E80-$C80,0))))))</f>
        <v>0.20833333333333337</v>
      </c>
      <c r="M80" s="121">
        <f t="shared" si="9"/>
        <v>0.49652777777777785</v>
      </c>
      <c r="N80" s="59">
        <f aca="true" t="shared" si="15" ref="N80:O143">K80/$S$3</f>
        <v>6.916666667773335</v>
      </c>
      <c r="O80" s="59">
        <f t="shared" si="15"/>
        <v>5.000000000800001</v>
      </c>
      <c r="P80" s="101">
        <f>Puissance_en_nominale*Simulation!N80+Puissance_en_economie*Simulation!O80</f>
        <v>442.30534033541926</v>
      </c>
      <c r="Q80" s="101">
        <f aca="true" t="shared" si="16" ref="Q80:Q143">Puissance_à_la_tension_réseau*(N80+O80)</f>
        <v>597.0250000955242</v>
      </c>
      <c r="R80" s="128">
        <f aca="true" t="shared" si="17" ref="R80:R143">1-P80/Q80</f>
        <v>0.25915105688262596</v>
      </c>
    </row>
    <row r="81" spans="1:18" ht="12.75">
      <c r="A81" t="s">
        <v>242</v>
      </c>
      <c r="B81" s="116">
        <v>0.8395833333333332</v>
      </c>
      <c r="C81" s="116">
        <v>0.9791666666666666</v>
      </c>
      <c r="D81" s="116">
        <v>0.1875</v>
      </c>
      <c r="E81" s="116">
        <v>0.3534722222222222</v>
      </c>
      <c r="F81" t="s">
        <v>157</v>
      </c>
      <c r="H81" s="59">
        <f t="shared" si="10"/>
        <v>0.02083333333333337</v>
      </c>
      <c r="I81" s="234">
        <f t="shared" si="11"/>
        <v>0.1395833333333334</v>
      </c>
      <c r="J81" s="234">
        <f t="shared" si="12"/>
        <v>-0.1659722222222222</v>
      </c>
      <c r="K81" s="121">
        <f t="shared" si="13"/>
        <v>0.3055555555555556</v>
      </c>
      <c r="L81" s="233">
        <f t="shared" si="14"/>
        <v>0.20833333333333337</v>
      </c>
      <c r="M81" s="121">
        <f t="shared" si="9"/>
        <v>0.513888888888889</v>
      </c>
      <c r="N81" s="59">
        <f t="shared" si="15"/>
        <v>7.333333334506667</v>
      </c>
      <c r="O81" s="59">
        <f t="shared" si="15"/>
        <v>5.000000000800001</v>
      </c>
      <c r="P81" s="101">
        <f>Puissance_en_nominale*Simulation!N81+Puissance_en_economie*Simulation!O81</f>
        <v>459.7077505461431</v>
      </c>
      <c r="Q81" s="101">
        <f t="shared" si="16"/>
        <v>617.9000000988642</v>
      </c>
      <c r="R81" s="128">
        <f t="shared" si="17"/>
        <v>0.2560159403259594</v>
      </c>
    </row>
    <row r="82" spans="1:18" ht="12.75">
      <c r="A82" t="s">
        <v>243</v>
      </c>
      <c r="B82" s="116">
        <v>0.81875</v>
      </c>
      <c r="C82" s="116">
        <v>0.9583333333333334</v>
      </c>
      <c r="D82" s="116">
        <v>0.20833333333333334</v>
      </c>
      <c r="E82" s="116">
        <v>0.3534722222222222</v>
      </c>
      <c r="F82" t="s">
        <v>180</v>
      </c>
      <c r="H82" s="59">
        <f t="shared" si="10"/>
        <v>0.04166666666666663</v>
      </c>
      <c r="I82" s="234">
        <f t="shared" si="11"/>
        <v>0.1395833333333334</v>
      </c>
      <c r="J82" s="234">
        <f t="shared" si="12"/>
        <v>-0.14513888888888885</v>
      </c>
      <c r="K82" s="121">
        <f t="shared" si="13"/>
        <v>0.2847222222222222</v>
      </c>
      <c r="L82" s="233">
        <f t="shared" si="14"/>
        <v>0.24999999999999997</v>
      </c>
      <c r="M82" s="121">
        <f t="shared" si="9"/>
        <v>0.5347222222222222</v>
      </c>
      <c r="N82" s="59">
        <f t="shared" si="15"/>
        <v>6.8333333344266665</v>
      </c>
      <c r="O82" s="59">
        <f t="shared" si="15"/>
        <v>6.00000000096</v>
      </c>
      <c r="P82" s="101">
        <f>Puissance_en_nominale*Simulation!N82+Puissance_en_economie*Simulation!O82</f>
        <v>469.50992446075486</v>
      </c>
      <c r="Q82" s="101">
        <f t="shared" si="16"/>
        <v>642.9500001028721</v>
      </c>
      <c r="R82" s="128">
        <f t="shared" si="17"/>
        <v>0.2697567083200354</v>
      </c>
    </row>
    <row r="83" spans="1:18" ht="12.75">
      <c r="A83" t="s">
        <v>244</v>
      </c>
      <c r="B83" s="116">
        <v>0.81875</v>
      </c>
      <c r="C83" s="116">
        <v>0.9583333333333334</v>
      </c>
      <c r="D83" s="116">
        <v>0.20833333333333334</v>
      </c>
      <c r="E83" s="116">
        <v>0.3361111111111111</v>
      </c>
      <c r="F83" t="s">
        <v>180</v>
      </c>
      <c r="H83" s="59">
        <f t="shared" si="10"/>
        <v>0.04166666666666663</v>
      </c>
      <c r="I83" s="234">
        <f t="shared" si="11"/>
        <v>0.1395833333333334</v>
      </c>
      <c r="J83" s="234">
        <f t="shared" si="12"/>
        <v>-0.12777777777777774</v>
      </c>
      <c r="K83" s="121">
        <f t="shared" si="13"/>
        <v>0.26736111111111116</v>
      </c>
      <c r="L83" s="233">
        <f t="shared" si="14"/>
        <v>0.24999999999999997</v>
      </c>
      <c r="M83" s="121">
        <f t="shared" si="9"/>
        <v>0.5173611111111112</v>
      </c>
      <c r="N83" s="59">
        <f t="shared" si="15"/>
        <v>6.416666667693335</v>
      </c>
      <c r="O83" s="59">
        <f t="shared" si="15"/>
        <v>6.00000000096</v>
      </c>
      <c r="P83" s="101">
        <f>Puissance_en_nominale*Simulation!N83+Puissance_en_economie*Simulation!O83</f>
        <v>452.10751425003104</v>
      </c>
      <c r="Q83" s="101">
        <f t="shared" si="16"/>
        <v>622.0750000995322</v>
      </c>
      <c r="R83" s="128">
        <f t="shared" si="17"/>
        <v>0.2732266781695234</v>
      </c>
    </row>
    <row r="84" spans="1:18" ht="12.75">
      <c r="A84" t="s">
        <v>245</v>
      </c>
      <c r="B84" s="116">
        <v>0.8395833333333332</v>
      </c>
      <c r="C84" s="116">
        <v>0.9791666666666666</v>
      </c>
      <c r="D84" s="116">
        <v>0.1875</v>
      </c>
      <c r="E84" s="116">
        <v>0.3361111111111111</v>
      </c>
      <c r="F84" t="s">
        <v>157</v>
      </c>
      <c r="H84" s="59">
        <f t="shared" si="10"/>
        <v>0.02083333333333337</v>
      </c>
      <c r="I84" s="234">
        <f t="shared" si="11"/>
        <v>0.1395833333333334</v>
      </c>
      <c r="J84" s="234">
        <f t="shared" si="12"/>
        <v>-0.14861111111111108</v>
      </c>
      <c r="K84" s="121">
        <f t="shared" si="13"/>
        <v>0.2881944444444445</v>
      </c>
      <c r="L84" s="233">
        <f t="shared" si="14"/>
        <v>0.20833333333333337</v>
      </c>
      <c r="M84" s="121">
        <f t="shared" si="9"/>
        <v>0.49652777777777785</v>
      </c>
      <c r="N84" s="59">
        <f t="shared" si="15"/>
        <v>6.916666667773335</v>
      </c>
      <c r="O84" s="59">
        <f t="shared" si="15"/>
        <v>5.000000000800001</v>
      </c>
      <c r="P84" s="101">
        <f>Puissance_en_nominale*Simulation!N84+Puissance_en_economie*Simulation!O84</f>
        <v>442.30534033541926</v>
      </c>
      <c r="Q84" s="101">
        <f t="shared" si="16"/>
        <v>597.0250000955242</v>
      </c>
      <c r="R84" s="128">
        <f t="shared" si="17"/>
        <v>0.25915105688262596</v>
      </c>
    </row>
    <row r="85" spans="1:18" ht="12.75">
      <c r="A85" t="s">
        <v>246</v>
      </c>
      <c r="B85" s="116">
        <v>0.8395833333333332</v>
      </c>
      <c r="C85" s="116">
        <v>0.9791666666666666</v>
      </c>
      <c r="D85" s="116">
        <v>0.1875</v>
      </c>
      <c r="E85" s="116">
        <v>0.3361111111111111</v>
      </c>
      <c r="F85" t="s">
        <v>157</v>
      </c>
      <c r="H85" s="59">
        <f t="shared" si="10"/>
        <v>0.02083333333333337</v>
      </c>
      <c r="I85" s="234">
        <f t="shared" si="11"/>
        <v>0.1395833333333334</v>
      </c>
      <c r="J85" s="234">
        <f t="shared" si="12"/>
        <v>-0.14861111111111108</v>
      </c>
      <c r="K85" s="121">
        <f t="shared" si="13"/>
        <v>0.2881944444444445</v>
      </c>
      <c r="L85" s="233">
        <f t="shared" si="14"/>
        <v>0.20833333333333337</v>
      </c>
      <c r="M85" s="121">
        <f t="shared" si="9"/>
        <v>0.49652777777777785</v>
      </c>
      <c r="N85" s="59">
        <f t="shared" si="15"/>
        <v>6.916666667773335</v>
      </c>
      <c r="O85" s="59">
        <f t="shared" si="15"/>
        <v>5.000000000800001</v>
      </c>
      <c r="P85" s="101">
        <f>Puissance_en_nominale*Simulation!N85+Puissance_en_economie*Simulation!O85</f>
        <v>442.30534033541926</v>
      </c>
      <c r="Q85" s="101">
        <f t="shared" si="16"/>
        <v>597.0250000955242</v>
      </c>
      <c r="R85" s="128">
        <f t="shared" si="17"/>
        <v>0.25915105688262596</v>
      </c>
    </row>
    <row r="86" spans="1:18" ht="12.75">
      <c r="A86" t="s">
        <v>247</v>
      </c>
      <c r="B86" s="116">
        <v>0.8388888888888889</v>
      </c>
      <c r="C86" s="116">
        <v>0.9791666666666666</v>
      </c>
      <c r="D86" s="116">
        <v>0.1875</v>
      </c>
      <c r="E86" s="116">
        <v>0.3361111111111111</v>
      </c>
      <c r="F86" t="s">
        <v>157</v>
      </c>
      <c r="H86" s="59">
        <f t="shared" si="10"/>
        <v>0.02083333333333337</v>
      </c>
      <c r="I86" s="234">
        <f t="shared" si="11"/>
        <v>0.14027777777777772</v>
      </c>
      <c r="J86" s="234">
        <f t="shared" si="12"/>
        <v>-0.14861111111111108</v>
      </c>
      <c r="K86" s="121">
        <f t="shared" si="13"/>
        <v>0.2888888888888888</v>
      </c>
      <c r="L86" s="233">
        <f t="shared" si="14"/>
        <v>0.20833333333333337</v>
      </c>
      <c r="M86" s="121">
        <f t="shared" si="9"/>
        <v>0.4972222222222222</v>
      </c>
      <c r="N86" s="59">
        <f t="shared" si="15"/>
        <v>6.933333334442665</v>
      </c>
      <c r="O86" s="59">
        <f t="shared" si="15"/>
        <v>5.000000000800001</v>
      </c>
      <c r="P86" s="101">
        <f>Puissance_en_nominale*Simulation!N86+Puissance_en_economie*Simulation!O86</f>
        <v>443.0014367438481</v>
      </c>
      <c r="Q86" s="101">
        <f t="shared" si="16"/>
        <v>597.8600000956576</v>
      </c>
      <c r="R86" s="128">
        <f t="shared" si="17"/>
        <v>0.25902144871212684</v>
      </c>
    </row>
    <row r="87" spans="1:18" ht="12.75">
      <c r="A87" t="s">
        <v>248</v>
      </c>
      <c r="B87" s="116">
        <v>0.8388888888888889</v>
      </c>
      <c r="C87" s="116">
        <v>0.9791666666666666</v>
      </c>
      <c r="D87" s="116">
        <v>0.1875</v>
      </c>
      <c r="E87" s="116">
        <v>0.3361111111111111</v>
      </c>
      <c r="F87" t="s">
        <v>157</v>
      </c>
      <c r="H87" s="59">
        <f t="shared" si="10"/>
        <v>0.02083333333333337</v>
      </c>
      <c r="I87" s="234">
        <f t="shared" si="11"/>
        <v>0.14027777777777772</v>
      </c>
      <c r="J87" s="234">
        <f t="shared" si="12"/>
        <v>-0.14861111111111108</v>
      </c>
      <c r="K87" s="121">
        <f t="shared" si="13"/>
        <v>0.2888888888888888</v>
      </c>
      <c r="L87" s="233">
        <f t="shared" si="14"/>
        <v>0.20833333333333337</v>
      </c>
      <c r="M87" s="121">
        <f t="shared" si="9"/>
        <v>0.4972222222222222</v>
      </c>
      <c r="N87" s="59">
        <f t="shared" si="15"/>
        <v>6.933333334442665</v>
      </c>
      <c r="O87" s="59">
        <f t="shared" si="15"/>
        <v>5.000000000800001</v>
      </c>
      <c r="P87" s="101">
        <f>Puissance_en_nominale*Simulation!N87+Puissance_en_economie*Simulation!O87</f>
        <v>443.0014367438481</v>
      </c>
      <c r="Q87" s="101">
        <f t="shared" si="16"/>
        <v>597.8600000956576</v>
      </c>
      <c r="R87" s="128">
        <f t="shared" si="17"/>
        <v>0.25902144871212684</v>
      </c>
    </row>
    <row r="88" spans="1:18" ht="12.75">
      <c r="A88" t="s">
        <v>249</v>
      </c>
      <c r="B88" s="116">
        <v>0.8388888888888889</v>
      </c>
      <c r="C88" s="116">
        <v>0.9791666666666666</v>
      </c>
      <c r="D88" s="116">
        <v>0.1875</v>
      </c>
      <c r="E88" s="116">
        <v>0.3534722222222222</v>
      </c>
      <c r="F88" t="s">
        <v>157</v>
      </c>
      <c r="H88" s="59">
        <f t="shared" si="10"/>
        <v>0.02083333333333337</v>
      </c>
      <c r="I88" s="234">
        <f t="shared" si="11"/>
        <v>0.14027777777777772</v>
      </c>
      <c r="J88" s="234">
        <f t="shared" si="12"/>
        <v>-0.1659722222222222</v>
      </c>
      <c r="K88" s="121">
        <f t="shared" si="13"/>
        <v>0.3062499999999999</v>
      </c>
      <c r="L88" s="233">
        <f t="shared" si="14"/>
        <v>0.20833333333333337</v>
      </c>
      <c r="M88" s="121">
        <f t="shared" si="9"/>
        <v>0.5145833333333333</v>
      </c>
      <c r="N88" s="59">
        <f t="shared" si="15"/>
        <v>7.3500000011759985</v>
      </c>
      <c r="O88" s="59">
        <f t="shared" si="15"/>
        <v>5.000000000800001</v>
      </c>
      <c r="P88" s="101">
        <f>Puissance_en_nominale*Simulation!N88+Puissance_en_economie*Simulation!O88</f>
        <v>460.40384695457203</v>
      </c>
      <c r="Q88" s="101">
        <f t="shared" si="16"/>
        <v>618.7350000989977</v>
      </c>
      <c r="R88" s="128">
        <f t="shared" si="17"/>
        <v>0.25589493582728096</v>
      </c>
    </row>
    <row r="89" spans="1:18" ht="12.75">
      <c r="A89" t="s">
        <v>250</v>
      </c>
      <c r="B89" s="116">
        <v>0.8180555555555555</v>
      </c>
      <c r="C89" s="116">
        <v>0.9583333333333334</v>
      </c>
      <c r="D89" s="116">
        <v>0.20833333333333334</v>
      </c>
      <c r="E89" s="116">
        <v>0.3534722222222222</v>
      </c>
      <c r="F89" t="s">
        <v>180</v>
      </c>
      <c r="H89" s="59">
        <f t="shared" si="10"/>
        <v>0.04166666666666663</v>
      </c>
      <c r="I89" s="234">
        <f t="shared" si="11"/>
        <v>0.14027777777777783</v>
      </c>
      <c r="J89" s="234">
        <f t="shared" si="12"/>
        <v>-0.14513888888888885</v>
      </c>
      <c r="K89" s="121">
        <f t="shared" si="13"/>
        <v>0.28541666666666665</v>
      </c>
      <c r="L89" s="233">
        <f t="shared" si="14"/>
        <v>0.24999999999999997</v>
      </c>
      <c r="M89" s="121">
        <f t="shared" si="9"/>
        <v>0.5354166666666667</v>
      </c>
      <c r="N89" s="59">
        <f t="shared" si="15"/>
        <v>6.850000001096</v>
      </c>
      <c r="O89" s="59">
        <f t="shared" si="15"/>
        <v>6.00000000096</v>
      </c>
      <c r="P89" s="101">
        <f>Puissance_en_nominale*Simulation!N89+Puissance_en_economie*Simulation!O89</f>
        <v>470.2060208691839</v>
      </c>
      <c r="Q89" s="101">
        <f t="shared" si="16"/>
        <v>643.7850001030057</v>
      </c>
      <c r="R89" s="128">
        <f t="shared" si="17"/>
        <v>0.2696225901598347</v>
      </c>
    </row>
    <row r="90" spans="1:18" ht="12.75">
      <c r="A90" t="s">
        <v>251</v>
      </c>
      <c r="B90" s="116">
        <v>0.8180555555555555</v>
      </c>
      <c r="C90" s="116">
        <v>0.9583333333333334</v>
      </c>
      <c r="D90" s="116">
        <v>0.20833333333333334</v>
      </c>
      <c r="E90" s="116">
        <v>0.3361111111111111</v>
      </c>
      <c r="F90" t="s">
        <v>180</v>
      </c>
      <c r="H90" s="59">
        <f t="shared" si="10"/>
        <v>0.04166666666666663</v>
      </c>
      <c r="I90" s="234">
        <f t="shared" si="11"/>
        <v>0.14027777777777783</v>
      </c>
      <c r="J90" s="234">
        <f t="shared" si="12"/>
        <v>-0.12777777777777774</v>
      </c>
      <c r="K90" s="121">
        <f t="shared" si="13"/>
        <v>0.2680555555555556</v>
      </c>
      <c r="L90" s="233">
        <f t="shared" si="14"/>
        <v>0.24999999999999997</v>
      </c>
      <c r="M90" s="121">
        <f t="shared" si="9"/>
        <v>0.5180555555555556</v>
      </c>
      <c r="N90" s="59">
        <f t="shared" si="15"/>
        <v>6.433333334362668</v>
      </c>
      <c r="O90" s="59">
        <f t="shared" si="15"/>
        <v>6.00000000096</v>
      </c>
      <c r="P90" s="101">
        <f>Puissance_en_nominale*Simulation!N90+Puissance_en_economie*Simulation!O90</f>
        <v>452.80361065846</v>
      </c>
      <c r="Q90" s="101">
        <f t="shared" si="16"/>
        <v>622.9100000996658</v>
      </c>
      <c r="R90" s="128">
        <f t="shared" si="17"/>
        <v>0.2730834139987939</v>
      </c>
    </row>
    <row r="91" spans="1:18" ht="12.75">
      <c r="A91" t="s">
        <v>252</v>
      </c>
      <c r="B91" s="116">
        <v>0.8388888888888889</v>
      </c>
      <c r="C91" s="116">
        <v>0.9791666666666666</v>
      </c>
      <c r="D91" s="116">
        <v>0.1875</v>
      </c>
      <c r="E91" s="116">
        <v>0.3361111111111111</v>
      </c>
      <c r="F91" t="s">
        <v>157</v>
      </c>
      <c r="H91" s="59">
        <f t="shared" si="10"/>
        <v>0.02083333333333337</v>
      </c>
      <c r="I91" s="234">
        <f t="shared" si="11"/>
        <v>0.14027777777777772</v>
      </c>
      <c r="J91" s="234">
        <f t="shared" si="12"/>
        <v>-0.14861111111111108</v>
      </c>
      <c r="K91" s="121">
        <f t="shared" si="13"/>
        <v>0.2888888888888888</v>
      </c>
      <c r="L91" s="233">
        <f t="shared" si="14"/>
        <v>0.20833333333333337</v>
      </c>
      <c r="M91" s="121">
        <f t="shared" si="9"/>
        <v>0.4972222222222222</v>
      </c>
      <c r="N91" s="59">
        <f t="shared" si="15"/>
        <v>6.933333334442665</v>
      </c>
      <c r="O91" s="59">
        <f t="shared" si="15"/>
        <v>5.000000000800001</v>
      </c>
      <c r="P91" s="101">
        <f>Puissance_en_nominale*Simulation!N91+Puissance_en_economie*Simulation!O91</f>
        <v>443.0014367438481</v>
      </c>
      <c r="Q91" s="101">
        <f t="shared" si="16"/>
        <v>597.8600000956576</v>
      </c>
      <c r="R91" s="128">
        <f t="shared" si="17"/>
        <v>0.25902144871212684</v>
      </c>
    </row>
    <row r="92" spans="1:18" ht="12.75">
      <c r="A92" t="s">
        <v>253</v>
      </c>
      <c r="B92" s="116">
        <v>0.8388888888888889</v>
      </c>
      <c r="C92" s="116">
        <v>0.9791666666666666</v>
      </c>
      <c r="D92" s="116">
        <v>0.1875</v>
      </c>
      <c r="E92" s="116">
        <v>0.3354166666666667</v>
      </c>
      <c r="F92" t="s">
        <v>157</v>
      </c>
      <c r="H92" s="59">
        <f t="shared" si="10"/>
        <v>0.02083333333333337</v>
      </c>
      <c r="I92" s="234">
        <f t="shared" si="11"/>
        <v>0.14027777777777772</v>
      </c>
      <c r="J92" s="234">
        <f t="shared" si="12"/>
        <v>-0.1479166666666667</v>
      </c>
      <c r="K92" s="121">
        <f t="shared" si="13"/>
        <v>0.2881944444444444</v>
      </c>
      <c r="L92" s="233">
        <f t="shared" si="14"/>
        <v>0.20833333333333337</v>
      </c>
      <c r="M92" s="121">
        <f t="shared" si="9"/>
        <v>0.4965277777777778</v>
      </c>
      <c r="N92" s="59">
        <f t="shared" si="15"/>
        <v>6.916666667773333</v>
      </c>
      <c r="O92" s="59">
        <f t="shared" si="15"/>
        <v>5.000000000800001</v>
      </c>
      <c r="P92" s="101">
        <f>Puissance_en_nominale*Simulation!N92+Puissance_en_economie*Simulation!O92</f>
        <v>442.30534033541915</v>
      </c>
      <c r="Q92" s="101">
        <f t="shared" si="16"/>
        <v>597.0250000955242</v>
      </c>
      <c r="R92" s="128">
        <f t="shared" si="17"/>
        <v>0.2591510568826261</v>
      </c>
    </row>
    <row r="93" spans="1:18" ht="12.75">
      <c r="A93" t="s">
        <v>254</v>
      </c>
      <c r="B93" s="116">
        <v>0.8388888888888889</v>
      </c>
      <c r="C93" s="116">
        <v>0.9791666666666666</v>
      </c>
      <c r="D93" s="116">
        <v>0.1875</v>
      </c>
      <c r="E93" s="116">
        <v>0.3354166666666667</v>
      </c>
      <c r="F93" t="s">
        <v>157</v>
      </c>
      <c r="H93" s="59">
        <f t="shared" si="10"/>
        <v>0.02083333333333337</v>
      </c>
      <c r="I93" s="234">
        <f t="shared" si="11"/>
        <v>0.14027777777777772</v>
      </c>
      <c r="J93" s="234">
        <f t="shared" si="12"/>
        <v>-0.1479166666666667</v>
      </c>
      <c r="K93" s="121">
        <f t="shared" si="13"/>
        <v>0.2881944444444444</v>
      </c>
      <c r="L93" s="233">
        <f t="shared" si="14"/>
        <v>0.20833333333333337</v>
      </c>
      <c r="M93" s="121">
        <f t="shared" si="9"/>
        <v>0.4965277777777778</v>
      </c>
      <c r="N93" s="59">
        <f t="shared" si="15"/>
        <v>6.916666667773333</v>
      </c>
      <c r="O93" s="59">
        <f t="shared" si="15"/>
        <v>5.000000000800001</v>
      </c>
      <c r="P93" s="101">
        <f>Puissance_en_nominale*Simulation!N93+Puissance_en_economie*Simulation!O93</f>
        <v>442.30534033541915</v>
      </c>
      <c r="Q93" s="101">
        <f t="shared" si="16"/>
        <v>597.0250000955242</v>
      </c>
      <c r="R93" s="128">
        <f t="shared" si="17"/>
        <v>0.2591510568826261</v>
      </c>
    </row>
    <row r="94" spans="1:18" ht="12.75">
      <c r="A94" t="s">
        <v>255</v>
      </c>
      <c r="B94" s="116">
        <v>0.8388888888888889</v>
      </c>
      <c r="C94" s="116">
        <v>0.9791666666666666</v>
      </c>
      <c r="D94" s="116">
        <v>0.1875</v>
      </c>
      <c r="E94" s="116">
        <v>0.3354166666666667</v>
      </c>
      <c r="F94" t="s">
        <v>157</v>
      </c>
      <c r="H94" s="59">
        <f t="shared" si="10"/>
        <v>0.02083333333333337</v>
      </c>
      <c r="I94" s="234">
        <f t="shared" si="11"/>
        <v>0.14027777777777772</v>
      </c>
      <c r="J94" s="234">
        <f t="shared" si="12"/>
        <v>-0.1479166666666667</v>
      </c>
      <c r="K94" s="121">
        <f t="shared" si="13"/>
        <v>0.2881944444444444</v>
      </c>
      <c r="L94" s="233">
        <f t="shared" si="14"/>
        <v>0.20833333333333337</v>
      </c>
      <c r="M94" s="121">
        <f t="shared" si="9"/>
        <v>0.4965277777777778</v>
      </c>
      <c r="N94" s="59">
        <f t="shared" si="15"/>
        <v>6.916666667773333</v>
      </c>
      <c r="O94" s="59">
        <f t="shared" si="15"/>
        <v>5.000000000800001</v>
      </c>
      <c r="P94" s="101">
        <f>Puissance_en_nominale*Simulation!N94+Puissance_en_economie*Simulation!O94</f>
        <v>442.30534033541915</v>
      </c>
      <c r="Q94" s="101">
        <f t="shared" si="16"/>
        <v>597.0250000955242</v>
      </c>
      <c r="R94" s="128">
        <f t="shared" si="17"/>
        <v>0.2591510568826261</v>
      </c>
    </row>
    <row r="95" spans="1:18" ht="12.75">
      <c r="A95" t="s">
        <v>256</v>
      </c>
      <c r="B95" s="116">
        <v>0.8381944444444445</v>
      </c>
      <c r="C95" s="116">
        <v>0.9791666666666666</v>
      </c>
      <c r="D95" s="116">
        <v>0.1875</v>
      </c>
      <c r="E95" s="116">
        <v>0.3527777777777778</v>
      </c>
      <c r="F95" t="s">
        <v>157</v>
      </c>
      <c r="H95" s="59">
        <f t="shared" si="10"/>
        <v>0.02083333333333337</v>
      </c>
      <c r="I95" s="234">
        <f t="shared" si="11"/>
        <v>0.14097222222222217</v>
      </c>
      <c r="J95" s="234">
        <f t="shared" si="12"/>
        <v>-0.1652777777777778</v>
      </c>
      <c r="K95" s="121">
        <f t="shared" si="13"/>
        <v>0.30624999999999997</v>
      </c>
      <c r="L95" s="233">
        <f t="shared" si="14"/>
        <v>0.20833333333333337</v>
      </c>
      <c r="M95" s="121">
        <f t="shared" si="9"/>
        <v>0.5145833333333334</v>
      </c>
      <c r="N95" s="59">
        <f t="shared" si="15"/>
        <v>7.350000001175999</v>
      </c>
      <c r="O95" s="59">
        <f t="shared" si="15"/>
        <v>5.000000000800001</v>
      </c>
      <c r="P95" s="101">
        <f>Puissance_en_nominale*Simulation!N95+Puissance_en_economie*Simulation!O95</f>
        <v>460.40384695457203</v>
      </c>
      <c r="Q95" s="101">
        <f t="shared" si="16"/>
        <v>618.7350000989977</v>
      </c>
      <c r="R95" s="128">
        <f t="shared" si="17"/>
        <v>0.25589493582728096</v>
      </c>
    </row>
    <row r="96" spans="1:18" ht="12.75">
      <c r="A96" t="s">
        <v>257</v>
      </c>
      <c r="B96" s="116">
        <v>0.8173611111111111</v>
      </c>
      <c r="C96" s="116">
        <v>0.9583333333333334</v>
      </c>
      <c r="D96" s="116">
        <v>0.20833333333333334</v>
      </c>
      <c r="E96" s="116">
        <v>0.3527777777777778</v>
      </c>
      <c r="F96" t="s">
        <v>180</v>
      </c>
      <c r="H96" s="59">
        <f t="shared" si="10"/>
        <v>0.04166666666666663</v>
      </c>
      <c r="I96" s="234">
        <f t="shared" si="11"/>
        <v>0.14097222222222228</v>
      </c>
      <c r="J96" s="234">
        <f t="shared" si="12"/>
        <v>-0.14444444444444446</v>
      </c>
      <c r="K96" s="121">
        <f t="shared" si="13"/>
        <v>0.28541666666666676</v>
      </c>
      <c r="L96" s="233">
        <f t="shared" si="14"/>
        <v>0.24999999999999997</v>
      </c>
      <c r="M96" s="121">
        <f t="shared" si="9"/>
        <v>0.5354166666666668</v>
      </c>
      <c r="N96" s="59">
        <f t="shared" si="15"/>
        <v>6.850000001096003</v>
      </c>
      <c r="O96" s="59">
        <f t="shared" si="15"/>
        <v>6.00000000096</v>
      </c>
      <c r="P96" s="101">
        <f>Puissance_en_nominale*Simulation!N96+Puissance_en_economie*Simulation!O96</f>
        <v>470.206020869184</v>
      </c>
      <c r="Q96" s="101">
        <f t="shared" si="16"/>
        <v>643.7850001030058</v>
      </c>
      <c r="R96" s="128">
        <f t="shared" si="17"/>
        <v>0.2696225901598346</v>
      </c>
    </row>
    <row r="97" spans="1:18" ht="12.75">
      <c r="A97" t="s">
        <v>258</v>
      </c>
      <c r="B97" s="116">
        <v>0.8173611111111111</v>
      </c>
      <c r="C97" s="116">
        <v>0.9583333333333334</v>
      </c>
      <c r="D97" s="116">
        <v>0.20833333333333334</v>
      </c>
      <c r="E97" s="116">
        <v>0.3354166666666667</v>
      </c>
      <c r="F97" t="s">
        <v>180</v>
      </c>
      <c r="H97" s="59">
        <f t="shared" si="10"/>
        <v>0.04166666666666663</v>
      </c>
      <c r="I97" s="234">
        <f t="shared" si="11"/>
        <v>0.14097222222222228</v>
      </c>
      <c r="J97" s="234">
        <f t="shared" si="12"/>
        <v>-0.12708333333333335</v>
      </c>
      <c r="K97" s="121">
        <f t="shared" si="13"/>
        <v>0.2680555555555556</v>
      </c>
      <c r="L97" s="233">
        <f t="shared" si="14"/>
        <v>0.24999999999999997</v>
      </c>
      <c r="M97" s="121">
        <f t="shared" si="9"/>
        <v>0.5180555555555556</v>
      </c>
      <c r="N97" s="59">
        <f t="shared" si="15"/>
        <v>6.433333334362668</v>
      </c>
      <c r="O97" s="59">
        <f t="shared" si="15"/>
        <v>6.00000000096</v>
      </c>
      <c r="P97" s="101">
        <f>Puissance_en_nominale*Simulation!N97+Puissance_en_economie*Simulation!O97</f>
        <v>452.80361065846</v>
      </c>
      <c r="Q97" s="101">
        <f t="shared" si="16"/>
        <v>622.9100000996658</v>
      </c>
      <c r="R97" s="128">
        <f t="shared" si="17"/>
        <v>0.2730834139987939</v>
      </c>
    </row>
    <row r="98" spans="1:18" ht="12.75">
      <c r="A98" t="s">
        <v>259</v>
      </c>
      <c r="B98" s="116">
        <v>0.8381944444444445</v>
      </c>
      <c r="C98" s="116">
        <v>0.9791666666666666</v>
      </c>
      <c r="D98" s="116">
        <v>0.1875</v>
      </c>
      <c r="E98" s="116">
        <v>0.3354166666666667</v>
      </c>
      <c r="F98" t="s">
        <v>157</v>
      </c>
      <c r="H98" s="59">
        <f t="shared" si="10"/>
        <v>0.02083333333333337</v>
      </c>
      <c r="I98" s="234">
        <f t="shared" si="11"/>
        <v>0.14097222222222217</v>
      </c>
      <c r="J98" s="234">
        <f t="shared" si="12"/>
        <v>-0.1479166666666667</v>
      </c>
      <c r="K98" s="121">
        <f t="shared" si="13"/>
        <v>0.28888888888888886</v>
      </c>
      <c r="L98" s="233">
        <f t="shared" si="14"/>
        <v>0.20833333333333337</v>
      </c>
      <c r="M98" s="121">
        <f t="shared" si="9"/>
        <v>0.49722222222222223</v>
      </c>
      <c r="N98" s="59">
        <f t="shared" si="15"/>
        <v>6.933333334442667</v>
      </c>
      <c r="O98" s="59">
        <f t="shared" si="15"/>
        <v>5.000000000800001</v>
      </c>
      <c r="P98" s="101">
        <f>Puissance_en_nominale*Simulation!N98+Puissance_en_economie*Simulation!O98</f>
        <v>443.0014367438481</v>
      </c>
      <c r="Q98" s="101">
        <f t="shared" si="16"/>
        <v>597.8600000956578</v>
      </c>
      <c r="R98" s="128">
        <f t="shared" si="17"/>
        <v>0.25902144871212707</v>
      </c>
    </row>
    <row r="99" spans="1:18" ht="12.75">
      <c r="A99" t="s">
        <v>260</v>
      </c>
      <c r="B99" s="116">
        <v>0.8381944444444445</v>
      </c>
      <c r="C99" s="116">
        <v>0.9791666666666666</v>
      </c>
      <c r="D99" s="116">
        <v>0.1875</v>
      </c>
      <c r="E99" s="116">
        <v>0.3347222222222222</v>
      </c>
      <c r="F99" t="s">
        <v>157</v>
      </c>
      <c r="H99" s="59">
        <f t="shared" si="10"/>
        <v>0.02083333333333337</v>
      </c>
      <c r="I99" s="234">
        <f t="shared" si="11"/>
        <v>0.14097222222222217</v>
      </c>
      <c r="J99" s="234">
        <f t="shared" si="12"/>
        <v>-0.1472222222222222</v>
      </c>
      <c r="K99" s="121">
        <f t="shared" si="13"/>
        <v>0.28819444444444436</v>
      </c>
      <c r="L99" s="233">
        <f t="shared" si="14"/>
        <v>0.20833333333333337</v>
      </c>
      <c r="M99" s="121">
        <f t="shared" si="9"/>
        <v>0.49652777777777773</v>
      </c>
      <c r="N99" s="59">
        <f t="shared" si="15"/>
        <v>6.916666667773332</v>
      </c>
      <c r="O99" s="59">
        <f t="shared" si="15"/>
        <v>5.000000000800001</v>
      </c>
      <c r="P99" s="101">
        <f>Puissance_en_nominale*Simulation!N99+Puissance_en_economie*Simulation!O99</f>
        <v>442.30534033541915</v>
      </c>
      <c r="Q99" s="101">
        <f t="shared" si="16"/>
        <v>597.0250000955241</v>
      </c>
      <c r="R99" s="128">
        <f t="shared" si="17"/>
        <v>0.25915105688262596</v>
      </c>
    </row>
    <row r="100" spans="1:18" ht="12.75">
      <c r="A100" t="s">
        <v>261</v>
      </c>
      <c r="B100" s="116">
        <v>0.8381944444444445</v>
      </c>
      <c r="C100" s="116">
        <v>0.9791666666666666</v>
      </c>
      <c r="D100" s="116">
        <v>0.1875</v>
      </c>
      <c r="E100" s="116">
        <v>0.3347222222222222</v>
      </c>
      <c r="F100" t="s">
        <v>157</v>
      </c>
      <c r="H100" s="59">
        <f t="shared" si="10"/>
        <v>0.02083333333333337</v>
      </c>
      <c r="I100" s="234">
        <f t="shared" si="11"/>
        <v>0.14097222222222217</v>
      </c>
      <c r="J100" s="234">
        <f t="shared" si="12"/>
        <v>-0.1472222222222222</v>
      </c>
      <c r="K100" s="121">
        <f t="shared" si="13"/>
        <v>0.28819444444444436</v>
      </c>
      <c r="L100" s="233">
        <f t="shared" si="14"/>
        <v>0.20833333333333337</v>
      </c>
      <c r="M100" s="121">
        <f t="shared" si="9"/>
        <v>0.49652777777777773</v>
      </c>
      <c r="N100" s="59">
        <f t="shared" si="15"/>
        <v>6.916666667773332</v>
      </c>
      <c r="O100" s="59">
        <f t="shared" si="15"/>
        <v>5.000000000800001</v>
      </c>
      <c r="P100" s="101">
        <f>Puissance_en_nominale*Simulation!N100+Puissance_en_economie*Simulation!O100</f>
        <v>442.30534033541915</v>
      </c>
      <c r="Q100" s="101">
        <f t="shared" si="16"/>
        <v>597.0250000955241</v>
      </c>
      <c r="R100" s="128">
        <f t="shared" si="17"/>
        <v>0.25915105688262596</v>
      </c>
    </row>
    <row r="101" spans="1:18" ht="12.75">
      <c r="A101" t="s">
        <v>262</v>
      </c>
      <c r="B101" s="116">
        <v>0.8375</v>
      </c>
      <c r="C101" s="116">
        <v>0.9791666666666666</v>
      </c>
      <c r="D101" s="116">
        <v>0.1875</v>
      </c>
      <c r="E101" s="116">
        <v>0.3347222222222222</v>
      </c>
      <c r="F101" t="s">
        <v>157</v>
      </c>
      <c r="H101" s="59">
        <f t="shared" si="10"/>
        <v>0.02083333333333337</v>
      </c>
      <c r="I101" s="234">
        <f t="shared" si="11"/>
        <v>0.1416666666666666</v>
      </c>
      <c r="J101" s="234">
        <f t="shared" si="12"/>
        <v>-0.1472222222222222</v>
      </c>
      <c r="K101" s="121">
        <f t="shared" si="13"/>
        <v>0.2888888888888888</v>
      </c>
      <c r="L101" s="233">
        <f t="shared" si="14"/>
        <v>0.20833333333333337</v>
      </c>
      <c r="M101" s="121">
        <f t="shared" si="9"/>
        <v>0.4972222222222222</v>
      </c>
      <c r="N101" s="59">
        <f t="shared" si="15"/>
        <v>6.933333334442665</v>
      </c>
      <c r="O101" s="59">
        <f t="shared" si="15"/>
        <v>5.000000000800001</v>
      </c>
      <c r="P101" s="101">
        <f>Puissance_en_nominale*Simulation!N101+Puissance_en_economie*Simulation!O101</f>
        <v>443.0014367438481</v>
      </c>
      <c r="Q101" s="101">
        <f t="shared" si="16"/>
        <v>597.8600000956576</v>
      </c>
      <c r="R101" s="128">
        <f t="shared" si="17"/>
        <v>0.25902144871212684</v>
      </c>
    </row>
    <row r="102" spans="1:18" ht="12.75">
      <c r="A102" t="s">
        <v>263</v>
      </c>
      <c r="B102" s="116">
        <v>0.8375</v>
      </c>
      <c r="C102" s="116">
        <v>0.9791666666666666</v>
      </c>
      <c r="D102" s="116">
        <v>0.1875</v>
      </c>
      <c r="E102" s="116">
        <v>0.3520833333333333</v>
      </c>
      <c r="F102" t="s">
        <v>157</v>
      </c>
      <c r="H102" s="59">
        <f t="shared" si="10"/>
        <v>0.02083333333333337</v>
      </c>
      <c r="I102" s="234">
        <f t="shared" si="11"/>
        <v>0.1416666666666666</v>
      </c>
      <c r="J102" s="234">
        <f t="shared" si="12"/>
        <v>-0.1645833333333333</v>
      </c>
      <c r="K102" s="121">
        <f t="shared" si="13"/>
        <v>0.3062499999999999</v>
      </c>
      <c r="L102" s="233">
        <f t="shared" si="14"/>
        <v>0.20833333333333337</v>
      </c>
      <c r="M102" s="121">
        <f t="shared" si="9"/>
        <v>0.5145833333333333</v>
      </c>
      <c r="N102" s="59">
        <f t="shared" si="15"/>
        <v>7.3500000011759985</v>
      </c>
      <c r="O102" s="59">
        <f t="shared" si="15"/>
        <v>5.000000000800001</v>
      </c>
      <c r="P102" s="101">
        <f>Puissance_en_nominale*Simulation!N102+Puissance_en_economie*Simulation!O102</f>
        <v>460.40384695457203</v>
      </c>
      <c r="Q102" s="101">
        <f t="shared" si="16"/>
        <v>618.7350000989977</v>
      </c>
      <c r="R102" s="128">
        <f t="shared" si="17"/>
        <v>0.25589493582728096</v>
      </c>
    </row>
    <row r="103" spans="1:18" ht="12.75">
      <c r="A103" t="s">
        <v>264</v>
      </c>
      <c r="B103" s="116">
        <v>0.8166666666666668</v>
      </c>
      <c r="C103" s="116">
        <v>0.9583333333333334</v>
      </c>
      <c r="D103" s="116">
        <v>0.20833333333333334</v>
      </c>
      <c r="E103" s="116">
        <v>0.3520833333333333</v>
      </c>
      <c r="F103" t="s">
        <v>180</v>
      </c>
      <c r="H103" s="59">
        <f t="shared" si="10"/>
        <v>0.04166666666666663</v>
      </c>
      <c r="I103" s="234">
        <f t="shared" si="11"/>
        <v>0.1416666666666666</v>
      </c>
      <c r="J103" s="234">
        <f t="shared" si="12"/>
        <v>-0.14374999999999996</v>
      </c>
      <c r="K103" s="121">
        <f t="shared" si="13"/>
        <v>0.28541666666666654</v>
      </c>
      <c r="L103" s="233">
        <f t="shared" si="14"/>
        <v>0.24999999999999997</v>
      </c>
      <c r="M103" s="121">
        <f t="shared" si="9"/>
        <v>0.5354166666666665</v>
      </c>
      <c r="N103" s="59">
        <f t="shared" si="15"/>
        <v>6.850000001095998</v>
      </c>
      <c r="O103" s="59">
        <f t="shared" si="15"/>
        <v>6.00000000096</v>
      </c>
      <c r="P103" s="101">
        <f>Puissance_en_nominale*Simulation!N103+Puissance_en_economie*Simulation!O103</f>
        <v>470.20602086918376</v>
      </c>
      <c r="Q103" s="101">
        <f t="shared" si="16"/>
        <v>643.7850001030056</v>
      </c>
      <c r="R103" s="128">
        <f t="shared" si="17"/>
        <v>0.2696225901598347</v>
      </c>
    </row>
    <row r="104" spans="1:18" ht="12.75">
      <c r="A104" t="s">
        <v>265</v>
      </c>
      <c r="B104" s="116">
        <v>0.8166666666666668</v>
      </c>
      <c r="C104" s="116">
        <v>0.9583333333333334</v>
      </c>
      <c r="D104" s="116">
        <v>0.20833333333333334</v>
      </c>
      <c r="E104" s="116">
        <v>0.3340277777777778</v>
      </c>
      <c r="F104" t="s">
        <v>180</v>
      </c>
      <c r="H104" s="59">
        <f t="shared" si="10"/>
        <v>0.04166666666666663</v>
      </c>
      <c r="I104" s="234">
        <f t="shared" si="11"/>
        <v>0.1416666666666666</v>
      </c>
      <c r="J104" s="234">
        <f t="shared" si="12"/>
        <v>-0.12569444444444447</v>
      </c>
      <c r="K104" s="121">
        <f t="shared" si="13"/>
        <v>0.26736111111111105</v>
      </c>
      <c r="L104" s="233">
        <f t="shared" si="14"/>
        <v>0.24999999999999997</v>
      </c>
      <c r="M104" s="121">
        <f t="shared" si="9"/>
        <v>0.517361111111111</v>
      </c>
      <c r="N104" s="59">
        <f t="shared" si="15"/>
        <v>6.416666667693332</v>
      </c>
      <c r="O104" s="59">
        <f t="shared" si="15"/>
        <v>6.00000000096</v>
      </c>
      <c r="P104" s="101">
        <f>Puissance_en_nominale*Simulation!N104+Puissance_en_economie*Simulation!O104</f>
        <v>452.10751425003093</v>
      </c>
      <c r="Q104" s="101">
        <f t="shared" si="16"/>
        <v>622.075000099532</v>
      </c>
      <c r="R104" s="128">
        <f t="shared" si="17"/>
        <v>0.2732266781695234</v>
      </c>
    </row>
    <row r="105" spans="1:18" ht="12.75">
      <c r="A105" t="s">
        <v>266</v>
      </c>
      <c r="B105" s="116">
        <v>0.8368055555555555</v>
      </c>
      <c r="C105" s="116">
        <v>0.9791666666666666</v>
      </c>
      <c r="D105" s="116">
        <v>0.1875</v>
      </c>
      <c r="E105" s="116">
        <v>0.3340277777777778</v>
      </c>
      <c r="F105" t="s">
        <v>157</v>
      </c>
      <c r="H105" s="59">
        <f t="shared" si="10"/>
        <v>0.02083333333333337</v>
      </c>
      <c r="I105" s="234">
        <f t="shared" si="11"/>
        <v>0.14236111111111116</v>
      </c>
      <c r="J105" s="234">
        <f t="shared" si="12"/>
        <v>-0.1465277777777778</v>
      </c>
      <c r="K105" s="121">
        <f t="shared" si="13"/>
        <v>0.288888888888889</v>
      </c>
      <c r="L105" s="233">
        <f t="shared" si="14"/>
        <v>0.20833333333333337</v>
      </c>
      <c r="M105" s="121">
        <f t="shared" si="9"/>
        <v>0.49722222222222234</v>
      </c>
      <c r="N105" s="59">
        <f t="shared" si="15"/>
        <v>6.933333334442669</v>
      </c>
      <c r="O105" s="59">
        <f t="shared" si="15"/>
        <v>5.000000000800001</v>
      </c>
      <c r="P105" s="101">
        <f>Puissance_en_nominale*Simulation!N105+Puissance_en_economie*Simulation!O105</f>
        <v>443.0014367438482</v>
      </c>
      <c r="Q105" s="101">
        <f t="shared" si="16"/>
        <v>597.8600000956579</v>
      </c>
      <c r="R105" s="128">
        <f t="shared" si="17"/>
        <v>0.25902144871212707</v>
      </c>
    </row>
    <row r="106" spans="1:18" ht="12.75">
      <c r="A106" t="s">
        <v>267</v>
      </c>
      <c r="B106" s="116">
        <v>0.8368055555555555</v>
      </c>
      <c r="C106" s="116">
        <v>0.9791666666666666</v>
      </c>
      <c r="D106" s="116">
        <v>0.1875</v>
      </c>
      <c r="E106" s="116">
        <v>0.3340277777777778</v>
      </c>
      <c r="F106" t="s">
        <v>157</v>
      </c>
      <c r="H106" s="59">
        <f t="shared" si="10"/>
        <v>0.02083333333333337</v>
      </c>
      <c r="I106" s="234">
        <f t="shared" si="11"/>
        <v>0.14236111111111116</v>
      </c>
      <c r="J106" s="234">
        <f t="shared" si="12"/>
        <v>-0.1465277777777778</v>
      </c>
      <c r="K106" s="121">
        <f t="shared" si="13"/>
        <v>0.288888888888889</v>
      </c>
      <c r="L106" s="233">
        <f t="shared" si="14"/>
        <v>0.20833333333333337</v>
      </c>
      <c r="M106" s="121">
        <f t="shared" si="9"/>
        <v>0.49722222222222234</v>
      </c>
      <c r="N106" s="59">
        <f t="shared" si="15"/>
        <v>6.933333334442669</v>
      </c>
      <c r="O106" s="59">
        <f t="shared" si="15"/>
        <v>5.000000000800001</v>
      </c>
      <c r="P106" s="101">
        <f>Puissance_en_nominale*Simulation!N106+Puissance_en_economie*Simulation!O106</f>
        <v>443.0014367438482</v>
      </c>
      <c r="Q106" s="101">
        <f t="shared" si="16"/>
        <v>597.8600000956579</v>
      </c>
      <c r="R106" s="128">
        <f t="shared" si="17"/>
        <v>0.25902144871212707</v>
      </c>
    </row>
    <row r="107" spans="1:18" ht="12.75">
      <c r="A107" t="s">
        <v>268</v>
      </c>
      <c r="B107" s="116">
        <v>0.8368055555555555</v>
      </c>
      <c r="C107" s="116">
        <v>0.9791666666666666</v>
      </c>
      <c r="D107" s="116">
        <v>0.1875</v>
      </c>
      <c r="E107" s="116">
        <v>0.3340277777777778</v>
      </c>
      <c r="F107" t="s">
        <v>157</v>
      </c>
      <c r="H107" s="59">
        <f t="shared" si="10"/>
        <v>0.02083333333333337</v>
      </c>
      <c r="I107" s="234">
        <f t="shared" si="11"/>
        <v>0.14236111111111116</v>
      </c>
      <c r="J107" s="234">
        <f t="shared" si="12"/>
        <v>-0.1465277777777778</v>
      </c>
      <c r="K107" s="121">
        <f t="shared" si="13"/>
        <v>0.288888888888889</v>
      </c>
      <c r="L107" s="233">
        <f t="shared" si="14"/>
        <v>0.20833333333333337</v>
      </c>
      <c r="M107" s="121">
        <f t="shared" si="9"/>
        <v>0.49722222222222234</v>
      </c>
      <c r="N107" s="59">
        <f t="shared" si="15"/>
        <v>6.933333334442669</v>
      </c>
      <c r="O107" s="59">
        <f t="shared" si="15"/>
        <v>5.000000000800001</v>
      </c>
      <c r="P107" s="101">
        <f>Puissance_en_nominale*Simulation!N107+Puissance_en_economie*Simulation!O107</f>
        <v>443.0014367438482</v>
      </c>
      <c r="Q107" s="101">
        <f t="shared" si="16"/>
        <v>597.8600000956579</v>
      </c>
      <c r="R107" s="128">
        <f t="shared" si="17"/>
        <v>0.25902144871212707</v>
      </c>
    </row>
    <row r="108" spans="1:18" ht="12.75">
      <c r="A108" t="s">
        <v>269</v>
      </c>
      <c r="B108" s="116">
        <v>0.8368055555555555</v>
      </c>
      <c r="C108" s="116">
        <v>0.9791666666666666</v>
      </c>
      <c r="D108" s="116">
        <v>0.1875</v>
      </c>
      <c r="E108" s="116">
        <v>0.3333333333333333</v>
      </c>
      <c r="F108" t="s">
        <v>157</v>
      </c>
      <c r="H108" s="59">
        <f t="shared" si="10"/>
        <v>0.02083333333333337</v>
      </c>
      <c r="I108" s="234">
        <f t="shared" si="11"/>
        <v>0.14236111111111116</v>
      </c>
      <c r="J108" s="234">
        <f t="shared" si="12"/>
        <v>-0.14583333333333331</v>
      </c>
      <c r="K108" s="121">
        <f t="shared" si="13"/>
        <v>0.2881944444444445</v>
      </c>
      <c r="L108" s="233">
        <f t="shared" si="14"/>
        <v>0.20833333333333337</v>
      </c>
      <c r="M108" s="121">
        <f t="shared" si="9"/>
        <v>0.49652777777777785</v>
      </c>
      <c r="N108" s="59">
        <f t="shared" si="15"/>
        <v>6.916666667773335</v>
      </c>
      <c r="O108" s="59">
        <f t="shared" si="15"/>
        <v>5.000000000800001</v>
      </c>
      <c r="P108" s="101">
        <f>Puissance_en_nominale*Simulation!N108+Puissance_en_economie*Simulation!O108</f>
        <v>442.30534033541926</v>
      </c>
      <c r="Q108" s="101">
        <f t="shared" si="16"/>
        <v>597.0250000955242</v>
      </c>
      <c r="R108" s="128">
        <f t="shared" si="17"/>
        <v>0.25915105688262596</v>
      </c>
    </row>
    <row r="109" spans="1:18" ht="12.75">
      <c r="A109" t="s">
        <v>270</v>
      </c>
      <c r="B109" s="116">
        <v>0.8361111111111111</v>
      </c>
      <c r="C109" s="116">
        <v>0.9791666666666666</v>
      </c>
      <c r="D109" s="116">
        <v>0.1875</v>
      </c>
      <c r="E109" s="116">
        <v>0.3506944444444444</v>
      </c>
      <c r="F109" t="s">
        <v>157</v>
      </c>
      <c r="H109" s="59">
        <f t="shared" si="10"/>
        <v>0.02083333333333337</v>
      </c>
      <c r="I109" s="234">
        <f t="shared" si="11"/>
        <v>0.1430555555555555</v>
      </c>
      <c r="J109" s="234">
        <f t="shared" si="12"/>
        <v>-0.16319444444444442</v>
      </c>
      <c r="K109" s="121">
        <f t="shared" si="13"/>
        <v>0.3062499999999999</v>
      </c>
      <c r="L109" s="233">
        <f t="shared" si="14"/>
        <v>0.20833333333333337</v>
      </c>
      <c r="M109" s="121">
        <f t="shared" si="9"/>
        <v>0.5145833333333333</v>
      </c>
      <c r="N109" s="59">
        <f t="shared" si="15"/>
        <v>7.3500000011759985</v>
      </c>
      <c r="O109" s="59">
        <f t="shared" si="15"/>
        <v>5.000000000800001</v>
      </c>
      <c r="P109" s="101">
        <f>Puissance_en_nominale*Simulation!N109+Puissance_en_economie*Simulation!O109</f>
        <v>460.40384695457203</v>
      </c>
      <c r="Q109" s="101">
        <f t="shared" si="16"/>
        <v>618.7350000989977</v>
      </c>
      <c r="R109" s="128">
        <f t="shared" si="17"/>
        <v>0.25589493582728096</v>
      </c>
    </row>
    <row r="110" spans="1:18" ht="12.75">
      <c r="A110" t="s">
        <v>271</v>
      </c>
      <c r="B110" s="116">
        <v>0.8152777777777778</v>
      </c>
      <c r="C110" s="116">
        <v>0.9583333333333334</v>
      </c>
      <c r="D110" s="116">
        <v>0.20833333333333334</v>
      </c>
      <c r="E110" s="116">
        <v>0.3506944444444444</v>
      </c>
      <c r="F110" t="s">
        <v>180</v>
      </c>
      <c r="H110" s="59">
        <f t="shared" si="10"/>
        <v>0.04166666666666663</v>
      </c>
      <c r="I110" s="234">
        <f t="shared" si="11"/>
        <v>0.1430555555555556</v>
      </c>
      <c r="J110" s="234">
        <f t="shared" si="12"/>
        <v>-0.14236111111111108</v>
      </c>
      <c r="K110" s="121">
        <f t="shared" si="13"/>
        <v>0.28541666666666665</v>
      </c>
      <c r="L110" s="233">
        <f t="shared" si="14"/>
        <v>0.24999999999999997</v>
      </c>
      <c r="M110" s="121">
        <f t="shared" si="9"/>
        <v>0.5354166666666667</v>
      </c>
      <c r="N110" s="59">
        <f t="shared" si="15"/>
        <v>6.850000001096</v>
      </c>
      <c r="O110" s="59">
        <f t="shared" si="15"/>
        <v>6.00000000096</v>
      </c>
      <c r="P110" s="101">
        <f>Puissance_en_nominale*Simulation!N110+Puissance_en_economie*Simulation!O110</f>
        <v>470.2060208691839</v>
      </c>
      <c r="Q110" s="101">
        <f t="shared" si="16"/>
        <v>643.7850001030057</v>
      </c>
      <c r="R110" s="128">
        <f t="shared" si="17"/>
        <v>0.2696225901598347</v>
      </c>
    </row>
    <row r="111" spans="1:18" ht="12.75">
      <c r="A111" t="s">
        <v>272</v>
      </c>
      <c r="B111" s="116">
        <v>0.8152777777777778</v>
      </c>
      <c r="C111" s="116">
        <v>0.9583333333333334</v>
      </c>
      <c r="D111" s="116">
        <v>0.20833333333333334</v>
      </c>
      <c r="E111" s="116">
        <v>0.3326388888888889</v>
      </c>
      <c r="F111" t="s">
        <v>180</v>
      </c>
      <c r="H111" s="59">
        <f t="shared" si="10"/>
        <v>0.04166666666666663</v>
      </c>
      <c r="I111" s="234">
        <f t="shared" si="11"/>
        <v>0.1430555555555556</v>
      </c>
      <c r="J111" s="234">
        <f t="shared" si="12"/>
        <v>-0.12430555555555553</v>
      </c>
      <c r="K111" s="121">
        <f t="shared" si="13"/>
        <v>0.26736111111111116</v>
      </c>
      <c r="L111" s="233">
        <f t="shared" si="14"/>
        <v>0.24999999999999997</v>
      </c>
      <c r="M111" s="121">
        <f t="shared" si="9"/>
        <v>0.5173611111111112</v>
      </c>
      <c r="N111" s="59">
        <f t="shared" si="15"/>
        <v>6.416666667693335</v>
      </c>
      <c r="O111" s="59">
        <f t="shared" si="15"/>
        <v>6.00000000096</v>
      </c>
      <c r="P111" s="101">
        <f>Puissance_en_nominale*Simulation!N111+Puissance_en_economie*Simulation!O111</f>
        <v>452.10751425003104</v>
      </c>
      <c r="Q111" s="101">
        <f t="shared" si="16"/>
        <v>622.0750000995322</v>
      </c>
      <c r="R111" s="128">
        <f t="shared" si="17"/>
        <v>0.2732266781695234</v>
      </c>
    </row>
    <row r="112" spans="1:18" ht="12.75">
      <c r="A112" t="s">
        <v>273</v>
      </c>
      <c r="B112" s="116">
        <v>0.8361111111111111</v>
      </c>
      <c r="C112" s="116">
        <v>0.9791666666666666</v>
      </c>
      <c r="D112" s="116">
        <v>0.1875</v>
      </c>
      <c r="E112" s="116">
        <v>0.3326388888888889</v>
      </c>
      <c r="F112" t="s">
        <v>157</v>
      </c>
      <c r="H112" s="59">
        <f t="shared" si="10"/>
        <v>0.02083333333333337</v>
      </c>
      <c r="I112" s="234">
        <f t="shared" si="11"/>
        <v>0.1430555555555555</v>
      </c>
      <c r="J112" s="234">
        <f t="shared" si="12"/>
        <v>-0.14513888888888887</v>
      </c>
      <c r="K112" s="121">
        <f t="shared" si="13"/>
        <v>0.28819444444444436</v>
      </c>
      <c r="L112" s="233">
        <f t="shared" si="14"/>
        <v>0.20833333333333337</v>
      </c>
      <c r="M112" s="121">
        <f t="shared" si="9"/>
        <v>0.49652777777777773</v>
      </c>
      <c r="N112" s="59">
        <f t="shared" si="15"/>
        <v>6.916666667773332</v>
      </c>
      <c r="O112" s="59">
        <f t="shared" si="15"/>
        <v>5.000000000800001</v>
      </c>
      <c r="P112" s="101">
        <f>Puissance_en_nominale*Simulation!N112+Puissance_en_economie*Simulation!O112</f>
        <v>442.30534033541915</v>
      </c>
      <c r="Q112" s="101">
        <f t="shared" si="16"/>
        <v>597.0250000955241</v>
      </c>
      <c r="R112" s="128">
        <f t="shared" si="17"/>
        <v>0.25915105688262596</v>
      </c>
    </row>
    <row r="113" spans="1:18" ht="12.75">
      <c r="A113" t="s">
        <v>274</v>
      </c>
      <c r="B113" s="116">
        <v>0.8354166666666667</v>
      </c>
      <c r="C113" s="116">
        <v>0.9791666666666666</v>
      </c>
      <c r="D113" s="116">
        <v>0.1875</v>
      </c>
      <c r="E113" s="116">
        <v>0.3326388888888889</v>
      </c>
      <c r="F113" t="s">
        <v>157</v>
      </c>
      <c r="H113" s="59">
        <f t="shared" si="10"/>
        <v>0.02083333333333337</v>
      </c>
      <c r="I113" s="234">
        <f t="shared" si="11"/>
        <v>0.14374999999999993</v>
      </c>
      <c r="J113" s="234">
        <f t="shared" si="12"/>
        <v>-0.14513888888888887</v>
      </c>
      <c r="K113" s="121">
        <f t="shared" si="13"/>
        <v>0.2888888888888888</v>
      </c>
      <c r="L113" s="233">
        <f t="shared" si="14"/>
        <v>0.20833333333333337</v>
      </c>
      <c r="M113" s="121">
        <f t="shared" si="9"/>
        <v>0.4972222222222222</v>
      </c>
      <c r="N113" s="59">
        <f t="shared" si="15"/>
        <v>6.933333334442665</v>
      </c>
      <c r="O113" s="59">
        <f t="shared" si="15"/>
        <v>5.000000000800001</v>
      </c>
      <c r="P113" s="101">
        <f>Puissance_en_nominale*Simulation!N113+Puissance_en_economie*Simulation!O113</f>
        <v>443.0014367438481</v>
      </c>
      <c r="Q113" s="101">
        <f t="shared" si="16"/>
        <v>597.8600000956576</v>
      </c>
      <c r="R113" s="128">
        <f t="shared" si="17"/>
        <v>0.25902144871212684</v>
      </c>
    </row>
    <row r="114" spans="1:18" ht="12.75">
      <c r="A114" t="s">
        <v>275</v>
      </c>
      <c r="B114" s="116">
        <v>0.8354166666666667</v>
      </c>
      <c r="C114" s="116">
        <v>0.9791666666666666</v>
      </c>
      <c r="D114" s="116">
        <v>0.1875</v>
      </c>
      <c r="E114" s="116">
        <v>0.3326388888888889</v>
      </c>
      <c r="F114" t="s">
        <v>157</v>
      </c>
      <c r="H114" s="59">
        <f t="shared" si="10"/>
        <v>0.02083333333333337</v>
      </c>
      <c r="I114" s="234">
        <f t="shared" si="11"/>
        <v>0.14374999999999993</v>
      </c>
      <c r="J114" s="234">
        <f t="shared" si="12"/>
        <v>-0.14513888888888887</v>
      </c>
      <c r="K114" s="121">
        <f t="shared" si="13"/>
        <v>0.2888888888888888</v>
      </c>
      <c r="L114" s="233">
        <f t="shared" si="14"/>
        <v>0.20833333333333337</v>
      </c>
      <c r="M114" s="121">
        <f t="shared" si="9"/>
        <v>0.4972222222222222</v>
      </c>
      <c r="N114" s="59">
        <f t="shared" si="15"/>
        <v>6.933333334442665</v>
      </c>
      <c r="O114" s="59">
        <f t="shared" si="15"/>
        <v>5.000000000800001</v>
      </c>
      <c r="P114" s="101">
        <f>Puissance_en_nominale*Simulation!N114+Puissance_en_economie*Simulation!O114</f>
        <v>443.0014367438481</v>
      </c>
      <c r="Q114" s="101">
        <f t="shared" si="16"/>
        <v>597.8600000956576</v>
      </c>
      <c r="R114" s="128">
        <f t="shared" si="17"/>
        <v>0.25902144871212684</v>
      </c>
    </row>
    <row r="115" spans="1:18" ht="12.75">
      <c r="A115" t="s">
        <v>276</v>
      </c>
      <c r="B115" s="116">
        <v>0.8354166666666667</v>
      </c>
      <c r="C115" s="116">
        <v>0.9791666666666666</v>
      </c>
      <c r="D115" s="116">
        <v>0.1875</v>
      </c>
      <c r="E115" s="116">
        <v>0.33194444444444443</v>
      </c>
      <c r="F115" t="s">
        <v>157</v>
      </c>
      <c r="H115" s="59">
        <f t="shared" si="10"/>
        <v>0.02083333333333337</v>
      </c>
      <c r="I115" s="234">
        <f t="shared" si="11"/>
        <v>0.14374999999999993</v>
      </c>
      <c r="J115" s="234">
        <f t="shared" si="12"/>
        <v>-0.14444444444444443</v>
      </c>
      <c r="K115" s="121">
        <f t="shared" si="13"/>
        <v>0.28819444444444436</v>
      </c>
      <c r="L115" s="233">
        <f t="shared" si="14"/>
        <v>0.20833333333333337</v>
      </c>
      <c r="M115" s="121">
        <f t="shared" si="9"/>
        <v>0.49652777777777773</v>
      </c>
      <c r="N115" s="59">
        <f t="shared" si="15"/>
        <v>6.916666667773332</v>
      </c>
      <c r="O115" s="59">
        <f t="shared" si="15"/>
        <v>5.000000000800001</v>
      </c>
      <c r="P115" s="101">
        <f>Puissance_en_nominale*Simulation!N115+Puissance_en_economie*Simulation!O115</f>
        <v>442.30534033541915</v>
      </c>
      <c r="Q115" s="101">
        <f t="shared" si="16"/>
        <v>597.0250000955241</v>
      </c>
      <c r="R115" s="128">
        <f t="shared" si="17"/>
        <v>0.25915105688262596</v>
      </c>
    </row>
    <row r="116" spans="1:18" ht="12.75">
      <c r="A116" t="s">
        <v>277</v>
      </c>
      <c r="B116" s="116">
        <v>0.8347222222222223</v>
      </c>
      <c r="C116" s="116">
        <v>0.9791666666666666</v>
      </c>
      <c r="D116" s="116">
        <v>0.1875</v>
      </c>
      <c r="E116" s="116">
        <v>0.34930555555555554</v>
      </c>
      <c r="F116" t="s">
        <v>157</v>
      </c>
      <c r="H116" s="59">
        <f t="shared" si="10"/>
        <v>0.02083333333333337</v>
      </c>
      <c r="I116" s="234">
        <f t="shared" si="11"/>
        <v>0.14444444444444438</v>
      </c>
      <c r="J116" s="234">
        <f t="shared" si="12"/>
        <v>-0.16180555555555554</v>
      </c>
      <c r="K116" s="121">
        <f t="shared" si="13"/>
        <v>0.3062499999999999</v>
      </c>
      <c r="L116" s="233">
        <f t="shared" si="14"/>
        <v>0.20833333333333337</v>
      </c>
      <c r="M116" s="121">
        <f t="shared" si="9"/>
        <v>0.5145833333333333</v>
      </c>
      <c r="N116" s="59">
        <f t="shared" si="15"/>
        <v>7.3500000011759985</v>
      </c>
      <c r="O116" s="59">
        <f t="shared" si="15"/>
        <v>5.000000000800001</v>
      </c>
      <c r="P116" s="101">
        <f>Puissance_en_nominale*Simulation!N116+Puissance_en_economie*Simulation!O116</f>
        <v>460.40384695457203</v>
      </c>
      <c r="Q116" s="101">
        <f t="shared" si="16"/>
        <v>618.7350000989977</v>
      </c>
      <c r="R116" s="128">
        <f t="shared" si="17"/>
        <v>0.25589493582728096</v>
      </c>
    </row>
    <row r="117" spans="1:18" ht="12.75">
      <c r="A117" t="s">
        <v>278</v>
      </c>
      <c r="B117" s="116">
        <v>0.813888888888889</v>
      </c>
      <c r="C117" s="116">
        <v>0.9583333333333334</v>
      </c>
      <c r="D117" s="116">
        <v>0.20833333333333334</v>
      </c>
      <c r="E117" s="116">
        <v>0.34930555555555554</v>
      </c>
      <c r="F117" t="s">
        <v>180</v>
      </c>
      <c r="H117" s="59">
        <f t="shared" si="10"/>
        <v>0.04166666666666663</v>
      </c>
      <c r="I117" s="234">
        <f t="shared" si="11"/>
        <v>0.14444444444444438</v>
      </c>
      <c r="J117" s="234">
        <f t="shared" si="12"/>
        <v>-0.1409722222222222</v>
      </c>
      <c r="K117" s="121">
        <f t="shared" si="13"/>
        <v>0.28541666666666654</v>
      </c>
      <c r="L117" s="233">
        <f t="shared" si="14"/>
        <v>0.24999999999999997</v>
      </c>
      <c r="M117" s="121">
        <f t="shared" si="9"/>
        <v>0.5354166666666665</v>
      </c>
      <c r="N117" s="59">
        <f t="shared" si="15"/>
        <v>6.850000001095998</v>
      </c>
      <c r="O117" s="59">
        <f t="shared" si="15"/>
        <v>6.00000000096</v>
      </c>
      <c r="P117" s="101">
        <f>Puissance_en_nominale*Simulation!N117+Puissance_en_economie*Simulation!O117</f>
        <v>470.20602086918376</v>
      </c>
      <c r="Q117" s="101">
        <f t="shared" si="16"/>
        <v>643.7850001030056</v>
      </c>
      <c r="R117" s="128">
        <f t="shared" si="17"/>
        <v>0.2696225901598347</v>
      </c>
    </row>
    <row r="118" spans="1:18" ht="12.75">
      <c r="A118" t="s">
        <v>279</v>
      </c>
      <c r="B118" s="116">
        <v>0.813888888888889</v>
      </c>
      <c r="C118" s="116">
        <v>0.9583333333333334</v>
      </c>
      <c r="D118" s="116">
        <v>0.20833333333333334</v>
      </c>
      <c r="E118" s="116">
        <v>0.33125</v>
      </c>
      <c r="F118" t="s">
        <v>180</v>
      </c>
      <c r="H118" s="59">
        <f t="shared" si="10"/>
        <v>0.04166666666666663</v>
      </c>
      <c r="I118" s="234">
        <f t="shared" si="11"/>
        <v>0.14444444444444438</v>
      </c>
      <c r="J118" s="234">
        <f t="shared" si="12"/>
        <v>-0.12291666666666665</v>
      </c>
      <c r="K118" s="121">
        <f t="shared" si="13"/>
        <v>0.26736111111111105</v>
      </c>
      <c r="L118" s="233">
        <f t="shared" si="14"/>
        <v>0.24999999999999997</v>
      </c>
      <c r="M118" s="121">
        <f t="shared" si="9"/>
        <v>0.517361111111111</v>
      </c>
      <c r="N118" s="59">
        <f t="shared" si="15"/>
        <v>6.416666667693332</v>
      </c>
      <c r="O118" s="59">
        <f t="shared" si="15"/>
        <v>6.00000000096</v>
      </c>
      <c r="P118" s="101">
        <f>Puissance_en_nominale*Simulation!N118+Puissance_en_economie*Simulation!O118</f>
        <v>452.10751425003093</v>
      </c>
      <c r="Q118" s="101">
        <f t="shared" si="16"/>
        <v>622.075000099532</v>
      </c>
      <c r="R118" s="128">
        <f t="shared" si="17"/>
        <v>0.2732266781695234</v>
      </c>
    </row>
    <row r="119" spans="1:18" ht="12.75">
      <c r="A119" t="s">
        <v>280</v>
      </c>
      <c r="B119" s="116">
        <v>0.8340277777777777</v>
      </c>
      <c r="C119" s="116">
        <v>0.9791666666666666</v>
      </c>
      <c r="D119" s="116">
        <v>0.1875</v>
      </c>
      <c r="E119" s="116">
        <v>0.33125</v>
      </c>
      <c r="F119" t="s">
        <v>157</v>
      </c>
      <c r="H119" s="59">
        <f t="shared" si="10"/>
        <v>0.02083333333333337</v>
      </c>
      <c r="I119" s="234">
        <f t="shared" si="11"/>
        <v>0.14513888888888893</v>
      </c>
      <c r="J119" s="234">
        <f t="shared" si="12"/>
        <v>-0.14375</v>
      </c>
      <c r="K119" s="121">
        <f t="shared" si="13"/>
        <v>0.2888888888888889</v>
      </c>
      <c r="L119" s="233">
        <f t="shared" si="14"/>
        <v>0.20833333333333337</v>
      </c>
      <c r="M119" s="121">
        <f t="shared" si="9"/>
        <v>0.4972222222222223</v>
      </c>
      <c r="N119" s="59">
        <f t="shared" si="15"/>
        <v>6.9333333344426675</v>
      </c>
      <c r="O119" s="59">
        <f t="shared" si="15"/>
        <v>5.000000000800001</v>
      </c>
      <c r="P119" s="101">
        <f>Puissance_en_nominale*Simulation!N119+Puissance_en_economie*Simulation!O119</f>
        <v>443.0014367438482</v>
      </c>
      <c r="Q119" s="101">
        <f t="shared" si="16"/>
        <v>597.8600000956578</v>
      </c>
      <c r="R119" s="128">
        <f t="shared" si="17"/>
        <v>0.25902144871212684</v>
      </c>
    </row>
    <row r="120" spans="1:18" ht="12.75">
      <c r="A120" t="s">
        <v>281</v>
      </c>
      <c r="B120" s="116">
        <v>0.8340277777777777</v>
      </c>
      <c r="C120" s="116">
        <v>0.9791666666666666</v>
      </c>
      <c r="D120" s="116">
        <v>0.1875</v>
      </c>
      <c r="E120" s="116">
        <v>0.33125</v>
      </c>
      <c r="F120" t="s">
        <v>157</v>
      </c>
      <c r="H120" s="59">
        <f t="shared" si="10"/>
        <v>0.02083333333333337</v>
      </c>
      <c r="I120" s="234">
        <f t="shared" si="11"/>
        <v>0.14513888888888893</v>
      </c>
      <c r="J120" s="234">
        <f t="shared" si="12"/>
        <v>-0.14375</v>
      </c>
      <c r="K120" s="121">
        <f t="shared" si="13"/>
        <v>0.2888888888888889</v>
      </c>
      <c r="L120" s="233">
        <f t="shared" si="14"/>
        <v>0.20833333333333337</v>
      </c>
      <c r="M120" s="121">
        <f t="shared" si="9"/>
        <v>0.4972222222222223</v>
      </c>
      <c r="N120" s="59">
        <f t="shared" si="15"/>
        <v>6.9333333344426675</v>
      </c>
      <c r="O120" s="59">
        <f t="shared" si="15"/>
        <v>5.000000000800001</v>
      </c>
      <c r="P120" s="101">
        <f>Puissance_en_nominale*Simulation!N120+Puissance_en_economie*Simulation!O120</f>
        <v>443.0014367438482</v>
      </c>
      <c r="Q120" s="101">
        <f t="shared" si="16"/>
        <v>597.8600000956578</v>
      </c>
      <c r="R120" s="128">
        <f t="shared" si="17"/>
        <v>0.25902144871212684</v>
      </c>
    </row>
    <row r="121" spans="1:18" ht="12.75">
      <c r="A121" t="s">
        <v>282</v>
      </c>
      <c r="B121" s="116">
        <v>0.8340277777777777</v>
      </c>
      <c r="C121" s="116">
        <v>0.9791666666666666</v>
      </c>
      <c r="D121" s="116">
        <v>0.1875</v>
      </c>
      <c r="E121" s="116">
        <v>0.33055555555555555</v>
      </c>
      <c r="F121" t="s">
        <v>157</v>
      </c>
      <c r="H121" s="59">
        <f t="shared" si="10"/>
        <v>0.02083333333333337</v>
      </c>
      <c r="I121" s="234">
        <f t="shared" si="11"/>
        <v>0.14513888888888893</v>
      </c>
      <c r="J121" s="234">
        <f t="shared" si="12"/>
        <v>-0.14305555555555555</v>
      </c>
      <c r="K121" s="121">
        <f t="shared" si="13"/>
        <v>0.2881944444444445</v>
      </c>
      <c r="L121" s="233">
        <f t="shared" si="14"/>
        <v>0.20833333333333337</v>
      </c>
      <c r="M121" s="121">
        <f t="shared" si="9"/>
        <v>0.49652777777777785</v>
      </c>
      <c r="N121" s="59">
        <f t="shared" si="15"/>
        <v>6.916666667773335</v>
      </c>
      <c r="O121" s="59">
        <f t="shared" si="15"/>
        <v>5.000000000800001</v>
      </c>
      <c r="P121" s="101">
        <f>Puissance_en_nominale*Simulation!N121+Puissance_en_economie*Simulation!O121</f>
        <v>442.30534033541926</v>
      </c>
      <c r="Q121" s="101">
        <f t="shared" si="16"/>
        <v>597.0250000955242</v>
      </c>
      <c r="R121" s="128">
        <f t="shared" si="17"/>
        <v>0.25915105688262596</v>
      </c>
    </row>
    <row r="122" spans="1:18" ht="12.75">
      <c r="A122" t="s">
        <v>283</v>
      </c>
      <c r="B122" s="116">
        <v>0.8333333333333334</v>
      </c>
      <c r="C122" s="116">
        <v>0.9791666666666666</v>
      </c>
      <c r="D122" s="116">
        <v>0.1875</v>
      </c>
      <c r="E122" s="116">
        <v>0.33055555555555555</v>
      </c>
      <c r="F122" t="s">
        <v>157</v>
      </c>
      <c r="H122" s="59">
        <f t="shared" si="10"/>
        <v>0.02083333333333337</v>
      </c>
      <c r="I122" s="234">
        <f t="shared" si="11"/>
        <v>0.14583333333333326</v>
      </c>
      <c r="J122" s="234">
        <f t="shared" si="12"/>
        <v>-0.14305555555555555</v>
      </c>
      <c r="K122" s="121">
        <f t="shared" si="13"/>
        <v>0.2888888888888888</v>
      </c>
      <c r="L122" s="233">
        <f t="shared" si="14"/>
        <v>0.20833333333333337</v>
      </c>
      <c r="M122" s="121">
        <f t="shared" si="9"/>
        <v>0.4972222222222222</v>
      </c>
      <c r="N122" s="59">
        <f t="shared" si="15"/>
        <v>6.933333334442665</v>
      </c>
      <c r="O122" s="59">
        <f t="shared" si="15"/>
        <v>5.000000000800001</v>
      </c>
      <c r="P122" s="101">
        <f>Puissance_en_nominale*Simulation!N122+Puissance_en_economie*Simulation!O122</f>
        <v>443.0014367438481</v>
      </c>
      <c r="Q122" s="101">
        <f t="shared" si="16"/>
        <v>597.8600000956576</v>
      </c>
      <c r="R122" s="128">
        <f t="shared" si="17"/>
        <v>0.25902144871212684</v>
      </c>
    </row>
    <row r="123" spans="1:18" ht="12.75">
      <c r="A123" t="s">
        <v>284</v>
      </c>
      <c r="B123" s="116">
        <v>0.8333333333333334</v>
      </c>
      <c r="C123" s="116">
        <v>0.9791666666666666</v>
      </c>
      <c r="D123" s="116">
        <v>0.1875</v>
      </c>
      <c r="E123" s="116">
        <v>0.34791666666666665</v>
      </c>
      <c r="F123" t="s">
        <v>157</v>
      </c>
      <c r="H123" s="59">
        <f t="shared" si="10"/>
        <v>0.02083333333333337</v>
      </c>
      <c r="I123" s="234">
        <f t="shared" si="11"/>
        <v>0.14583333333333326</v>
      </c>
      <c r="J123" s="234">
        <f t="shared" si="12"/>
        <v>-0.16041666666666665</v>
      </c>
      <c r="K123" s="121">
        <f t="shared" si="13"/>
        <v>0.3062499999999999</v>
      </c>
      <c r="L123" s="233">
        <f t="shared" si="14"/>
        <v>0.20833333333333337</v>
      </c>
      <c r="M123" s="121">
        <f t="shared" si="9"/>
        <v>0.5145833333333333</v>
      </c>
      <c r="N123" s="59">
        <f t="shared" si="15"/>
        <v>7.3500000011759985</v>
      </c>
      <c r="O123" s="59">
        <f t="shared" si="15"/>
        <v>5.000000000800001</v>
      </c>
      <c r="P123" s="101">
        <f>Puissance_en_nominale*Simulation!N123+Puissance_en_economie*Simulation!O123</f>
        <v>460.40384695457203</v>
      </c>
      <c r="Q123" s="101">
        <f t="shared" si="16"/>
        <v>618.7350000989977</v>
      </c>
      <c r="R123" s="128">
        <f t="shared" si="17"/>
        <v>0.25589493582728096</v>
      </c>
    </row>
    <row r="124" spans="1:18" ht="12.75">
      <c r="A124" t="s">
        <v>285</v>
      </c>
      <c r="B124" s="116">
        <v>0.8125</v>
      </c>
      <c r="C124" s="116">
        <v>0.9583333333333334</v>
      </c>
      <c r="D124" s="116">
        <v>0.20833333333333334</v>
      </c>
      <c r="E124" s="116">
        <v>0.34722222222222227</v>
      </c>
      <c r="F124" t="s">
        <v>180</v>
      </c>
      <c r="H124" s="59">
        <f t="shared" si="10"/>
        <v>0.04166666666666663</v>
      </c>
      <c r="I124" s="234">
        <f t="shared" si="11"/>
        <v>0.14583333333333337</v>
      </c>
      <c r="J124" s="234">
        <f t="shared" si="12"/>
        <v>-0.13888888888888892</v>
      </c>
      <c r="K124" s="121">
        <f t="shared" si="13"/>
        <v>0.2847222222222223</v>
      </c>
      <c r="L124" s="233">
        <f t="shared" si="14"/>
        <v>0.24999999999999997</v>
      </c>
      <c r="M124" s="121">
        <f t="shared" si="9"/>
        <v>0.5347222222222223</v>
      </c>
      <c r="N124" s="59">
        <f t="shared" si="15"/>
        <v>6.833333334426669</v>
      </c>
      <c r="O124" s="59">
        <f t="shared" si="15"/>
        <v>6.00000000096</v>
      </c>
      <c r="P124" s="101">
        <f>Puissance_en_nominale*Simulation!N124+Puissance_en_economie*Simulation!O124</f>
        <v>469.509924460755</v>
      </c>
      <c r="Q124" s="101">
        <f t="shared" si="16"/>
        <v>642.9500001028722</v>
      </c>
      <c r="R124" s="128">
        <f t="shared" si="17"/>
        <v>0.2697567083200354</v>
      </c>
    </row>
    <row r="125" spans="1:18" ht="12.75">
      <c r="A125" t="s">
        <v>286</v>
      </c>
      <c r="B125" s="116">
        <v>0.8118055555555556</v>
      </c>
      <c r="C125" s="116">
        <v>0.9583333333333334</v>
      </c>
      <c r="D125" s="116">
        <v>0.20833333333333334</v>
      </c>
      <c r="E125" s="116">
        <v>0.3298611111111111</v>
      </c>
      <c r="F125" t="s">
        <v>180</v>
      </c>
      <c r="H125" s="59">
        <f t="shared" si="10"/>
        <v>0.04166666666666663</v>
      </c>
      <c r="I125" s="234">
        <f t="shared" si="11"/>
        <v>0.1465277777777778</v>
      </c>
      <c r="J125" s="234">
        <f t="shared" si="12"/>
        <v>-0.12152777777777776</v>
      </c>
      <c r="K125" s="121">
        <f t="shared" si="13"/>
        <v>0.2680555555555556</v>
      </c>
      <c r="L125" s="233">
        <f t="shared" si="14"/>
        <v>0.24999999999999997</v>
      </c>
      <c r="M125" s="121">
        <f t="shared" si="9"/>
        <v>0.5180555555555556</v>
      </c>
      <c r="N125" s="59">
        <f t="shared" si="15"/>
        <v>6.433333334362668</v>
      </c>
      <c r="O125" s="59">
        <f t="shared" si="15"/>
        <v>6.00000000096</v>
      </c>
      <c r="P125" s="101">
        <f>Puissance_en_nominale*Simulation!N125+Puissance_en_economie*Simulation!O125</f>
        <v>452.80361065846</v>
      </c>
      <c r="Q125" s="101">
        <f t="shared" si="16"/>
        <v>622.9100000996658</v>
      </c>
      <c r="R125" s="128">
        <f t="shared" si="17"/>
        <v>0.2730834139987939</v>
      </c>
    </row>
    <row r="126" spans="1:18" ht="12.75">
      <c r="A126" t="s">
        <v>287</v>
      </c>
      <c r="B126" s="116">
        <v>0.8326388888888889</v>
      </c>
      <c r="C126" s="116">
        <v>0.9791666666666666</v>
      </c>
      <c r="D126" s="116">
        <v>0.1875</v>
      </c>
      <c r="E126" s="116">
        <v>0.3298611111111111</v>
      </c>
      <c r="F126" t="s">
        <v>157</v>
      </c>
      <c r="H126" s="59">
        <f t="shared" si="10"/>
        <v>0.02083333333333337</v>
      </c>
      <c r="I126" s="234">
        <f t="shared" si="11"/>
        <v>0.1465277777777777</v>
      </c>
      <c r="J126" s="234">
        <f t="shared" si="12"/>
        <v>-0.1423611111111111</v>
      </c>
      <c r="K126" s="121">
        <f t="shared" si="13"/>
        <v>0.2888888888888888</v>
      </c>
      <c r="L126" s="233">
        <f t="shared" si="14"/>
        <v>0.20833333333333337</v>
      </c>
      <c r="M126" s="121">
        <f t="shared" si="9"/>
        <v>0.4972222222222222</v>
      </c>
      <c r="N126" s="59">
        <f t="shared" si="15"/>
        <v>6.933333334442665</v>
      </c>
      <c r="O126" s="59">
        <f t="shared" si="15"/>
        <v>5.000000000800001</v>
      </c>
      <c r="P126" s="101">
        <f>Puissance_en_nominale*Simulation!N126+Puissance_en_economie*Simulation!O126</f>
        <v>443.0014367438481</v>
      </c>
      <c r="Q126" s="101">
        <f t="shared" si="16"/>
        <v>597.8600000956576</v>
      </c>
      <c r="R126" s="128">
        <f t="shared" si="17"/>
        <v>0.25902144871212684</v>
      </c>
    </row>
    <row r="127" spans="1:18" ht="12.75">
      <c r="A127" t="s">
        <v>288</v>
      </c>
      <c r="B127" s="116">
        <v>0.8326388888888889</v>
      </c>
      <c r="C127" s="116">
        <v>0.9791666666666666</v>
      </c>
      <c r="D127" s="116">
        <v>0.1875</v>
      </c>
      <c r="E127" s="116">
        <v>0.32916666666666666</v>
      </c>
      <c r="F127" t="s">
        <v>157</v>
      </c>
      <c r="H127" s="59">
        <f t="shared" si="10"/>
        <v>0.02083333333333337</v>
      </c>
      <c r="I127" s="234">
        <f t="shared" si="11"/>
        <v>0.1465277777777777</v>
      </c>
      <c r="J127" s="234">
        <f t="shared" si="12"/>
        <v>-0.14166666666666666</v>
      </c>
      <c r="K127" s="121">
        <f t="shared" si="13"/>
        <v>0.28819444444444436</v>
      </c>
      <c r="L127" s="233">
        <f t="shared" si="14"/>
        <v>0.20833333333333337</v>
      </c>
      <c r="M127" s="121">
        <f t="shared" si="9"/>
        <v>0.49652777777777773</v>
      </c>
      <c r="N127" s="59">
        <f t="shared" si="15"/>
        <v>6.916666667773332</v>
      </c>
      <c r="O127" s="59">
        <f t="shared" si="15"/>
        <v>5.000000000800001</v>
      </c>
      <c r="P127" s="101">
        <f>Puissance_en_nominale*Simulation!N127+Puissance_en_economie*Simulation!O127</f>
        <v>442.30534033541915</v>
      </c>
      <c r="Q127" s="101">
        <f t="shared" si="16"/>
        <v>597.0250000955241</v>
      </c>
      <c r="R127" s="128">
        <f t="shared" si="17"/>
        <v>0.25915105688262596</v>
      </c>
    </row>
    <row r="128" spans="1:18" ht="12.75">
      <c r="A128" t="s">
        <v>289</v>
      </c>
      <c r="B128" s="116">
        <v>0.8319444444444444</v>
      </c>
      <c r="C128" s="116">
        <v>0.9791666666666666</v>
      </c>
      <c r="D128" s="116">
        <v>0.1875</v>
      </c>
      <c r="E128" s="116">
        <v>0.32916666666666666</v>
      </c>
      <c r="F128" t="s">
        <v>157</v>
      </c>
      <c r="H128" s="59">
        <f t="shared" si="10"/>
        <v>0.02083333333333337</v>
      </c>
      <c r="I128" s="234">
        <f t="shared" si="11"/>
        <v>0.14722222222222225</v>
      </c>
      <c r="J128" s="234">
        <f t="shared" si="12"/>
        <v>-0.14166666666666666</v>
      </c>
      <c r="K128" s="121">
        <f t="shared" si="13"/>
        <v>0.2888888888888889</v>
      </c>
      <c r="L128" s="233">
        <f t="shared" si="14"/>
        <v>0.20833333333333337</v>
      </c>
      <c r="M128" s="121">
        <f t="shared" si="9"/>
        <v>0.4972222222222223</v>
      </c>
      <c r="N128" s="59">
        <f t="shared" si="15"/>
        <v>6.9333333344426675</v>
      </c>
      <c r="O128" s="59">
        <f t="shared" si="15"/>
        <v>5.000000000800001</v>
      </c>
      <c r="P128" s="101">
        <f>Puissance_en_nominale*Simulation!N128+Puissance_en_economie*Simulation!O128</f>
        <v>443.0014367438482</v>
      </c>
      <c r="Q128" s="101">
        <f t="shared" si="16"/>
        <v>597.8600000956578</v>
      </c>
      <c r="R128" s="128">
        <f t="shared" si="17"/>
        <v>0.25902144871212684</v>
      </c>
    </row>
    <row r="129" spans="1:18" ht="12.75">
      <c r="A129" t="s">
        <v>290</v>
      </c>
      <c r="B129" s="116">
        <v>0.8319444444444444</v>
      </c>
      <c r="C129" s="116">
        <v>0.9791666666666666</v>
      </c>
      <c r="D129" s="116">
        <v>0.1875</v>
      </c>
      <c r="E129" s="116">
        <v>0.32916666666666666</v>
      </c>
      <c r="F129" t="s">
        <v>157</v>
      </c>
      <c r="H129" s="59">
        <f t="shared" si="10"/>
        <v>0.02083333333333337</v>
      </c>
      <c r="I129" s="234">
        <f t="shared" si="11"/>
        <v>0.14722222222222225</v>
      </c>
      <c r="J129" s="234">
        <f t="shared" si="12"/>
        <v>-0.14166666666666666</v>
      </c>
      <c r="K129" s="121">
        <f t="shared" si="13"/>
        <v>0.2888888888888889</v>
      </c>
      <c r="L129" s="233">
        <f t="shared" si="14"/>
        <v>0.20833333333333337</v>
      </c>
      <c r="M129" s="121">
        <f t="shared" si="9"/>
        <v>0.4972222222222223</v>
      </c>
      <c r="N129" s="59">
        <f t="shared" si="15"/>
        <v>6.9333333344426675</v>
      </c>
      <c r="O129" s="59">
        <f t="shared" si="15"/>
        <v>5.000000000800001</v>
      </c>
      <c r="P129" s="101">
        <f>Puissance_en_nominale*Simulation!N129+Puissance_en_economie*Simulation!O129</f>
        <v>443.0014367438482</v>
      </c>
      <c r="Q129" s="101">
        <f t="shared" si="16"/>
        <v>597.8600000956578</v>
      </c>
      <c r="R129" s="128">
        <f t="shared" si="17"/>
        <v>0.25902144871212684</v>
      </c>
    </row>
    <row r="130" spans="1:18" ht="12.75">
      <c r="A130" t="s">
        <v>291</v>
      </c>
      <c r="B130" s="116">
        <v>0.8319444444444444</v>
      </c>
      <c r="C130" s="116">
        <v>0.9791666666666666</v>
      </c>
      <c r="D130" s="116">
        <v>0.1875</v>
      </c>
      <c r="E130" s="116">
        <v>0.3458333333333334</v>
      </c>
      <c r="F130" t="s">
        <v>157</v>
      </c>
      <c r="H130" s="59">
        <f t="shared" si="10"/>
        <v>0.02083333333333337</v>
      </c>
      <c r="I130" s="234">
        <f t="shared" si="11"/>
        <v>0.14722222222222225</v>
      </c>
      <c r="J130" s="234">
        <f t="shared" si="12"/>
        <v>-0.15833333333333338</v>
      </c>
      <c r="K130" s="121">
        <f t="shared" si="13"/>
        <v>0.30555555555555564</v>
      </c>
      <c r="L130" s="233">
        <f t="shared" si="14"/>
        <v>0.20833333333333337</v>
      </c>
      <c r="M130" s="121">
        <f t="shared" si="9"/>
        <v>0.5138888888888891</v>
      </c>
      <c r="N130" s="59">
        <f t="shared" si="15"/>
        <v>7.333333334506669</v>
      </c>
      <c r="O130" s="59">
        <f t="shared" si="15"/>
        <v>5.000000000800001</v>
      </c>
      <c r="P130" s="101">
        <f>Puissance_en_nominale*Simulation!N130+Puissance_en_economie*Simulation!O130</f>
        <v>459.7077505461432</v>
      </c>
      <c r="Q130" s="101">
        <f t="shared" si="16"/>
        <v>617.9000000988642</v>
      </c>
      <c r="R130" s="128">
        <f t="shared" si="17"/>
        <v>0.2560159403259592</v>
      </c>
    </row>
    <row r="131" spans="1:18" ht="12.75">
      <c r="A131" t="s">
        <v>292</v>
      </c>
      <c r="B131" s="116">
        <v>0.8104166666666667</v>
      </c>
      <c r="C131" s="116">
        <v>0.9583333333333334</v>
      </c>
      <c r="D131" s="116">
        <v>0.20833333333333334</v>
      </c>
      <c r="E131" s="116">
        <v>0.3458333333333334</v>
      </c>
      <c r="F131" t="s">
        <v>180</v>
      </c>
      <c r="H131" s="59">
        <f t="shared" si="10"/>
        <v>0.04166666666666663</v>
      </c>
      <c r="I131" s="234">
        <f t="shared" si="11"/>
        <v>0.1479166666666667</v>
      </c>
      <c r="J131" s="234">
        <f t="shared" si="12"/>
        <v>-0.13750000000000004</v>
      </c>
      <c r="K131" s="121">
        <f t="shared" si="13"/>
        <v>0.28541666666666676</v>
      </c>
      <c r="L131" s="233">
        <f t="shared" si="14"/>
        <v>0.24999999999999997</v>
      </c>
      <c r="M131" s="121">
        <f t="shared" si="9"/>
        <v>0.5354166666666668</v>
      </c>
      <c r="N131" s="59">
        <f t="shared" si="15"/>
        <v>6.850000001096003</v>
      </c>
      <c r="O131" s="59">
        <f t="shared" si="15"/>
        <v>6.00000000096</v>
      </c>
      <c r="P131" s="101">
        <f>Puissance_en_nominale*Simulation!N131+Puissance_en_economie*Simulation!O131</f>
        <v>470.206020869184</v>
      </c>
      <c r="Q131" s="101">
        <f t="shared" si="16"/>
        <v>643.7850001030058</v>
      </c>
      <c r="R131" s="128">
        <f t="shared" si="17"/>
        <v>0.2696225901598346</v>
      </c>
    </row>
    <row r="132" spans="1:18" ht="12.75">
      <c r="A132" t="s">
        <v>293</v>
      </c>
      <c r="B132" s="116">
        <v>0.8104166666666667</v>
      </c>
      <c r="C132" s="116">
        <v>0.9583333333333334</v>
      </c>
      <c r="D132" s="116">
        <v>0.20833333333333334</v>
      </c>
      <c r="E132" s="116">
        <v>0.3284722222222222</v>
      </c>
      <c r="F132" t="s">
        <v>180</v>
      </c>
      <c r="H132" s="59">
        <f t="shared" si="10"/>
        <v>0.04166666666666663</v>
      </c>
      <c r="I132" s="234">
        <f t="shared" si="11"/>
        <v>0.1479166666666667</v>
      </c>
      <c r="J132" s="234">
        <f t="shared" si="12"/>
        <v>-0.12013888888888888</v>
      </c>
      <c r="K132" s="121">
        <f t="shared" si="13"/>
        <v>0.2680555555555556</v>
      </c>
      <c r="L132" s="233">
        <f t="shared" si="14"/>
        <v>0.24999999999999997</v>
      </c>
      <c r="M132" s="121">
        <f t="shared" si="9"/>
        <v>0.5180555555555556</v>
      </c>
      <c r="N132" s="59">
        <f t="shared" si="15"/>
        <v>6.433333334362668</v>
      </c>
      <c r="O132" s="59">
        <f t="shared" si="15"/>
        <v>6.00000000096</v>
      </c>
      <c r="P132" s="101">
        <f>Puissance_en_nominale*Simulation!N132+Puissance_en_economie*Simulation!O132</f>
        <v>452.80361065846</v>
      </c>
      <c r="Q132" s="101">
        <f t="shared" si="16"/>
        <v>622.9100000996658</v>
      </c>
      <c r="R132" s="128">
        <f t="shared" si="17"/>
        <v>0.2730834139987939</v>
      </c>
    </row>
    <row r="133" spans="1:18" ht="12.75">
      <c r="A133" t="s">
        <v>294</v>
      </c>
      <c r="B133" s="116">
        <v>0.83125</v>
      </c>
      <c r="C133" s="116">
        <v>0.9791666666666666</v>
      </c>
      <c r="D133" s="116">
        <v>0.1875</v>
      </c>
      <c r="E133" s="116">
        <v>0.3277777777777778</v>
      </c>
      <c r="F133" t="s">
        <v>157</v>
      </c>
      <c r="H133" s="59">
        <f t="shared" si="10"/>
        <v>0.02083333333333337</v>
      </c>
      <c r="I133" s="234">
        <f t="shared" si="11"/>
        <v>0.14791666666666659</v>
      </c>
      <c r="J133" s="234">
        <f t="shared" si="12"/>
        <v>-0.14027777777777778</v>
      </c>
      <c r="K133" s="121">
        <f t="shared" si="13"/>
        <v>0.28819444444444436</v>
      </c>
      <c r="L133" s="233">
        <f t="shared" si="14"/>
        <v>0.20833333333333337</v>
      </c>
      <c r="M133" s="121">
        <f t="shared" si="9"/>
        <v>0.49652777777777773</v>
      </c>
      <c r="N133" s="59">
        <f t="shared" si="15"/>
        <v>6.916666667773332</v>
      </c>
      <c r="O133" s="59">
        <f t="shared" si="15"/>
        <v>5.000000000800001</v>
      </c>
      <c r="P133" s="101">
        <f>Puissance_en_nominale*Simulation!N133+Puissance_en_economie*Simulation!O133</f>
        <v>442.30534033541915</v>
      </c>
      <c r="Q133" s="101">
        <f t="shared" si="16"/>
        <v>597.0250000955241</v>
      </c>
      <c r="R133" s="128">
        <f t="shared" si="17"/>
        <v>0.25915105688262596</v>
      </c>
    </row>
    <row r="134" spans="1:18" ht="12.75">
      <c r="A134" t="s">
        <v>295</v>
      </c>
      <c r="B134" s="116">
        <v>0.8305555555555556</v>
      </c>
      <c r="C134" s="116">
        <v>0.9791666666666666</v>
      </c>
      <c r="D134" s="116">
        <v>0.1875</v>
      </c>
      <c r="E134" s="116">
        <v>0.3277777777777778</v>
      </c>
      <c r="F134" t="s">
        <v>157</v>
      </c>
      <c r="H134" s="59">
        <f t="shared" si="10"/>
        <v>0.02083333333333337</v>
      </c>
      <c r="I134" s="234">
        <f t="shared" si="11"/>
        <v>0.14861111111111103</v>
      </c>
      <c r="J134" s="234">
        <f t="shared" si="12"/>
        <v>-0.14027777777777778</v>
      </c>
      <c r="K134" s="121">
        <f t="shared" si="13"/>
        <v>0.2888888888888888</v>
      </c>
      <c r="L134" s="233">
        <f t="shared" si="14"/>
        <v>0.20833333333333337</v>
      </c>
      <c r="M134" s="121">
        <f t="shared" si="9"/>
        <v>0.4972222222222222</v>
      </c>
      <c r="N134" s="59">
        <f t="shared" si="15"/>
        <v>6.933333334442665</v>
      </c>
      <c r="O134" s="59">
        <f t="shared" si="15"/>
        <v>5.000000000800001</v>
      </c>
      <c r="P134" s="101">
        <f>Puissance_en_nominale*Simulation!N134+Puissance_en_economie*Simulation!O134</f>
        <v>443.0014367438481</v>
      </c>
      <c r="Q134" s="101">
        <f t="shared" si="16"/>
        <v>597.8600000956576</v>
      </c>
      <c r="R134" s="128">
        <f t="shared" si="17"/>
        <v>0.25902144871212684</v>
      </c>
    </row>
    <row r="135" spans="1:18" ht="12.75">
      <c r="A135" t="s">
        <v>296</v>
      </c>
      <c r="B135" s="116">
        <v>0.8305555555555556</v>
      </c>
      <c r="C135" s="116">
        <v>0.9791666666666666</v>
      </c>
      <c r="D135" s="116">
        <v>0.1875</v>
      </c>
      <c r="E135" s="116">
        <v>0.3277777777777778</v>
      </c>
      <c r="F135" t="s">
        <v>157</v>
      </c>
      <c r="H135" s="59">
        <f t="shared" si="10"/>
        <v>0.02083333333333337</v>
      </c>
      <c r="I135" s="234">
        <f t="shared" si="11"/>
        <v>0.14861111111111103</v>
      </c>
      <c r="J135" s="234">
        <f t="shared" si="12"/>
        <v>-0.14027777777777778</v>
      </c>
      <c r="K135" s="121">
        <f t="shared" si="13"/>
        <v>0.2888888888888888</v>
      </c>
      <c r="L135" s="233">
        <f t="shared" si="14"/>
        <v>0.20833333333333337</v>
      </c>
      <c r="M135" s="121">
        <f t="shared" si="9"/>
        <v>0.4972222222222222</v>
      </c>
      <c r="N135" s="59">
        <f t="shared" si="15"/>
        <v>6.933333334442665</v>
      </c>
      <c r="O135" s="59">
        <f t="shared" si="15"/>
        <v>5.000000000800001</v>
      </c>
      <c r="P135" s="101">
        <f>Puissance_en_nominale*Simulation!N135+Puissance_en_economie*Simulation!O135</f>
        <v>443.0014367438481</v>
      </c>
      <c r="Q135" s="101">
        <f t="shared" si="16"/>
        <v>597.8600000956576</v>
      </c>
      <c r="R135" s="128">
        <f t="shared" si="17"/>
        <v>0.25902144871212684</v>
      </c>
    </row>
    <row r="136" spans="1:18" ht="12.75">
      <c r="A136" t="s">
        <v>297</v>
      </c>
      <c r="B136" s="116">
        <v>0.8305555555555556</v>
      </c>
      <c r="C136" s="116">
        <v>0.9791666666666666</v>
      </c>
      <c r="D136" s="116">
        <v>0.1875</v>
      </c>
      <c r="E136" s="116">
        <v>0.32708333333333334</v>
      </c>
      <c r="F136" t="s">
        <v>157</v>
      </c>
      <c r="H136" s="59">
        <f t="shared" si="10"/>
        <v>0.02083333333333337</v>
      </c>
      <c r="I136" s="234">
        <f t="shared" si="11"/>
        <v>0.14861111111111103</v>
      </c>
      <c r="J136" s="234">
        <f t="shared" si="12"/>
        <v>-0.13958333333333334</v>
      </c>
      <c r="K136" s="121">
        <f t="shared" si="13"/>
        <v>0.28819444444444436</v>
      </c>
      <c r="L136" s="233">
        <f t="shared" si="14"/>
        <v>0.20833333333333337</v>
      </c>
      <c r="M136" s="121">
        <f t="shared" si="9"/>
        <v>0.49652777777777773</v>
      </c>
      <c r="N136" s="59">
        <f t="shared" si="15"/>
        <v>6.916666667773332</v>
      </c>
      <c r="O136" s="59">
        <f t="shared" si="15"/>
        <v>5.000000000800001</v>
      </c>
      <c r="P136" s="101">
        <f>Puissance_en_nominale*Simulation!N136+Puissance_en_economie*Simulation!O136</f>
        <v>442.30534033541915</v>
      </c>
      <c r="Q136" s="101">
        <f t="shared" si="16"/>
        <v>597.0250000955241</v>
      </c>
      <c r="R136" s="128">
        <f t="shared" si="17"/>
        <v>0.25915105688262596</v>
      </c>
    </row>
    <row r="137" spans="1:18" ht="12.75">
      <c r="A137" t="s">
        <v>298</v>
      </c>
      <c r="B137" s="116">
        <v>0.8298611111111112</v>
      </c>
      <c r="C137" s="116">
        <v>0.9791666666666666</v>
      </c>
      <c r="D137" s="116">
        <v>0.1875</v>
      </c>
      <c r="E137" s="116">
        <v>0.3444444444444445</v>
      </c>
      <c r="F137" t="s">
        <v>157</v>
      </c>
      <c r="H137" s="59">
        <f t="shared" si="10"/>
        <v>0.02083333333333337</v>
      </c>
      <c r="I137" s="234">
        <f t="shared" si="11"/>
        <v>0.14930555555555547</v>
      </c>
      <c r="J137" s="234">
        <f t="shared" si="12"/>
        <v>-0.1569444444444445</v>
      </c>
      <c r="K137" s="121">
        <f t="shared" si="13"/>
        <v>0.30624999999999997</v>
      </c>
      <c r="L137" s="233">
        <f t="shared" si="14"/>
        <v>0.20833333333333337</v>
      </c>
      <c r="M137" s="121">
        <f t="shared" si="9"/>
        <v>0.5145833333333334</v>
      </c>
      <c r="N137" s="59">
        <f t="shared" si="15"/>
        <v>7.350000001175999</v>
      </c>
      <c r="O137" s="59">
        <f t="shared" si="15"/>
        <v>5.000000000800001</v>
      </c>
      <c r="P137" s="101">
        <f>Puissance_en_nominale*Simulation!N137+Puissance_en_economie*Simulation!O137</f>
        <v>460.40384695457203</v>
      </c>
      <c r="Q137" s="101">
        <f t="shared" si="16"/>
        <v>618.7350000989977</v>
      </c>
      <c r="R137" s="128">
        <f t="shared" si="17"/>
        <v>0.25589493582728096</v>
      </c>
    </row>
    <row r="138" spans="1:18" ht="12.75">
      <c r="A138" t="s">
        <v>299</v>
      </c>
      <c r="B138" s="116">
        <v>0.8090277777777778</v>
      </c>
      <c r="C138" s="116">
        <v>0.9583333333333334</v>
      </c>
      <c r="D138" s="116">
        <v>0.20833333333333334</v>
      </c>
      <c r="E138" s="116">
        <v>0.34375</v>
      </c>
      <c r="F138" t="s">
        <v>180</v>
      </c>
      <c r="H138" s="59">
        <f t="shared" si="10"/>
        <v>0.04166666666666663</v>
      </c>
      <c r="I138" s="234">
        <f t="shared" si="11"/>
        <v>0.14930555555555558</v>
      </c>
      <c r="J138" s="234">
        <f t="shared" si="12"/>
        <v>-0.13541666666666666</v>
      </c>
      <c r="K138" s="121">
        <f t="shared" si="13"/>
        <v>0.2847222222222222</v>
      </c>
      <c r="L138" s="233">
        <f t="shared" si="14"/>
        <v>0.24999999999999997</v>
      </c>
      <c r="M138" s="121">
        <f t="shared" si="9"/>
        <v>0.5347222222222222</v>
      </c>
      <c r="N138" s="59">
        <f t="shared" si="15"/>
        <v>6.8333333344266665</v>
      </c>
      <c r="O138" s="59">
        <f t="shared" si="15"/>
        <v>6.00000000096</v>
      </c>
      <c r="P138" s="101">
        <f>Puissance_en_nominale*Simulation!N138+Puissance_en_economie*Simulation!O138</f>
        <v>469.50992446075486</v>
      </c>
      <c r="Q138" s="101">
        <f t="shared" si="16"/>
        <v>642.9500001028721</v>
      </c>
      <c r="R138" s="128">
        <f t="shared" si="17"/>
        <v>0.2697567083200354</v>
      </c>
    </row>
    <row r="139" spans="1:18" ht="12.75">
      <c r="A139" t="s">
        <v>300</v>
      </c>
      <c r="B139" s="116">
        <v>0.8083333333333332</v>
      </c>
      <c r="C139" s="116">
        <v>0.9583333333333334</v>
      </c>
      <c r="D139" s="116">
        <v>0.20833333333333334</v>
      </c>
      <c r="E139" s="116">
        <v>0.3263888888888889</v>
      </c>
      <c r="F139" t="s">
        <v>180</v>
      </c>
      <c r="H139" s="59">
        <f t="shared" si="10"/>
        <v>0.04166666666666663</v>
      </c>
      <c r="I139" s="234">
        <f t="shared" si="11"/>
        <v>0.15000000000000013</v>
      </c>
      <c r="J139" s="234">
        <f t="shared" si="12"/>
        <v>-0.11805555555555555</v>
      </c>
      <c r="K139" s="121">
        <f t="shared" si="13"/>
        <v>0.2680555555555557</v>
      </c>
      <c r="L139" s="233">
        <f t="shared" si="14"/>
        <v>0.24999999999999997</v>
      </c>
      <c r="M139" s="121">
        <f t="shared" si="9"/>
        <v>0.5180555555555557</v>
      </c>
      <c r="N139" s="59">
        <f t="shared" si="15"/>
        <v>6.433333334362671</v>
      </c>
      <c r="O139" s="59">
        <f t="shared" si="15"/>
        <v>6.00000000096</v>
      </c>
      <c r="P139" s="101">
        <f>Puissance_en_nominale*Simulation!N139+Puissance_en_economie*Simulation!O139</f>
        <v>452.8036106584601</v>
      </c>
      <c r="Q139" s="101">
        <f t="shared" si="16"/>
        <v>622.9100000996659</v>
      </c>
      <c r="R139" s="128">
        <f t="shared" si="17"/>
        <v>0.2730834139987939</v>
      </c>
    </row>
    <row r="140" spans="1:18" ht="12.75">
      <c r="A140" t="s">
        <v>301</v>
      </c>
      <c r="B140" s="116">
        <v>0.8291666666666666</v>
      </c>
      <c r="C140" s="116">
        <v>0.9791666666666666</v>
      </c>
      <c r="D140" s="116">
        <v>0.1875</v>
      </c>
      <c r="E140" s="116">
        <v>0.3263888888888889</v>
      </c>
      <c r="F140" t="s">
        <v>157</v>
      </c>
      <c r="H140" s="59">
        <f t="shared" si="10"/>
        <v>0.02083333333333337</v>
      </c>
      <c r="I140" s="234">
        <f t="shared" si="11"/>
        <v>0.15000000000000002</v>
      </c>
      <c r="J140" s="234">
        <f t="shared" si="12"/>
        <v>-0.1388888888888889</v>
      </c>
      <c r="K140" s="121">
        <f t="shared" si="13"/>
        <v>0.2888888888888889</v>
      </c>
      <c r="L140" s="233">
        <f t="shared" si="14"/>
        <v>0.20833333333333337</v>
      </c>
      <c r="M140" s="121">
        <f t="shared" si="9"/>
        <v>0.4972222222222223</v>
      </c>
      <c r="N140" s="59">
        <f t="shared" si="15"/>
        <v>6.9333333344426675</v>
      </c>
      <c r="O140" s="59">
        <f t="shared" si="15"/>
        <v>5.000000000800001</v>
      </c>
      <c r="P140" s="101">
        <f>Puissance_en_nominale*Simulation!N140+Puissance_en_economie*Simulation!O140</f>
        <v>443.0014367438482</v>
      </c>
      <c r="Q140" s="101">
        <f t="shared" si="16"/>
        <v>597.8600000956578</v>
      </c>
      <c r="R140" s="128">
        <f t="shared" si="17"/>
        <v>0.25902144871212684</v>
      </c>
    </row>
    <row r="141" spans="1:18" ht="12.75">
      <c r="A141" t="s">
        <v>302</v>
      </c>
      <c r="B141" s="116">
        <v>0.8291666666666666</v>
      </c>
      <c r="C141" s="116">
        <v>0.9791666666666666</v>
      </c>
      <c r="D141" s="116">
        <v>0.1875</v>
      </c>
      <c r="E141" s="116">
        <v>0.32569444444444445</v>
      </c>
      <c r="F141" t="s">
        <v>157</v>
      </c>
      <c r="H141" s="59">
        <f t="shared" si="10"/>
        <v>0.02083333333333337</v>
      </c>
      <c r="I141" s="234">
        <f t="shared" si="11"/>
        <v>0.15000000000000002</v>
      </c>
      <c r="J141" s="234">
        <f t="shared" si="12"/>
        <v>-0.13819444444444445</v>
      </c>
      <c r="K141" s="121">
        <f t="shared" si="13"/>
        <v>0.2881944444444445</v>
      </c>
      <c r="L141" s="233">
        <f t="shared" si="14"/>
        <v>0.20833333333333337</v>
      </c>
      <c r="M141" s="121">
        <f t="shared" si="9"/>
        <v>0.49652777777777785</v>
      </c>
      <c r="N141" s="59">
        <f t="shared" si="15"/>
        <v>6.916666667773335</v>
      </c>
      <c r="O141" s="59">
        <f t="shared" si="15"/>
        <v>5.000000000800001</v>
      </c>
      <c r="P141" s="101">
        <f>Puissance_en_nominale*Simulation!N141+Puissance_en_economie*Simulation!O141</f>
        <v>442.30534033541926</v>
      </c>
      <c r="Q141" s="101">
        <f t="shared" si="16"/>
        <v>597.0250000955242</v>
      </c>
      <c r="R141" s="128">
        <f t="shared" si="17"/>
        <v>0.25915105688262596</v>
      </c>
    </row>
    <row r="142" spans="1:18" ht="12.75">
      <c r="A142" t="s">
        <v>303</v>
      </c>
      <c r="B142" s="116">
        <v>0.8284722222222222</v>
      </c>
      <c r="C142" s="116">
        <v>0.9791666666666666</v>
      </c>
      <c r="D142" s="116">
        <v>0.1875</v>
      </c>
      <c r="E142" s="116">
        <v>0.32569444444444445</v>
      </c>
      <c r="F142" t="s">
        <v>157</v>
      </c>
      <c r="H142" s="59">
        <f t="shared" si="10"/>
        <v>0.02083333333333337</v>
      </c>
      <c r="I142" s="234">
        <f t="shared" si="11"/>
        <v>0.15069444444444446</v>
      </c>
      <c r="J142" s="234">
        <f t="shared" si="12"/>
        <v>-0.13819444444444445</v>
      </c>
      <c r="K142" s="121">
        <f t="shared" si="13"/>
        <v>0.2888888888888889</v>
      </c>
      <c r="L142" s="233">
        <f t="shared" si="14"/>
        <v>0.20833333333333337</v>
      </c>
      <c r="M142" s="121">
        <f t="shared" si="9"/>
        <v>0.4972222222222223</v>
      </c>
      <c r="N142" s="59">
        <f t="shared" si="15"/>
        <v>6.9333333344426675</v>
      </c>
      <c r="O142" s="59">
        <f t="shared" si="15"/>
        <v>5.000000000800001</v>
      </c>
      <c r="P142" s="101">
        <f>Puissance_en_nominale*Simulation!N142+Puissance_en_economie*Simulation!O142</f>
        <v>443.0014367438482</v>
      </c>
      <c r="Q142" s="101">
        <f t="shared" si="16"/>
        <v>597.8600000956578</v>
      </c>
      <c r="R142" s="128">
        <f t="shared" si="17"/>
        <v>0.25902144871212684</v>
      </c>
    </row>
    <row r="143" spans="1:18" ht="12.75">
      <c r="A143" t="s">
        <v>304</v>
      </c>
      <c r="B143" s="116">
        <v>0.8284722222222222</v>
      </c>
      <c r="C143" s="116">
        <v>0.9791666666666666</v>
      </c>
      <c r="D143" s="116">
        <v>0.1875</v>
      </c>
      <c r="E143" s="116">
        <v>0.32569444444444445</v>
      </c>
      <c r="F143" t="s">
        <v>157</v>
      </c>
      <c r="H143" s="59">
        <f t="shared" si="10"/>
        <v>0.02083333333333337</v>
      </c>
      <c r="I143" s="234">
        <f t="shared" si="11"/>
        <v>0.15069444444444446</v>
      </c>
      <c r="J143" s="234">
        <f t="shared" si="12"/>
        <v>-0.13819444444444445</v>
      </c>
      <c r="K143" s="121">
        <f t="shared" si="13"/>
        <v>0.2888888888888889</v>
      </c>
      <c r="L143" s="233">
        <f t="shared" si="14"/>
        <v>0.20833333333333337</v>
      </c>
      <c r="M143" s="121">
        <f aca="true" t="shared" si="18" ref="M143:M206">$K143+$L143</f>
        <v>0.4972222222222223</v>
      </c>
      <c r="N143" s="59">
        <f t="shared" si="15"/>
        <v>6.9333333344426675</v>
      </c>
      <c r="O143" s="59">
        <f t="shared" si="15"/>
        <v>5.000000000800001</v>
      </c>
      <c r="P143" s="101">
        <f>Puissance_en_nominale*Simulation!N143+Puissance_en_economie*Simulation!O143</f>
        <v>443.0014367438482</v>
      </c>
      <c r="Q143" s="101">
        <f t="shared" si="16"/>
        <v>597.8600000956578</v>
      </c>
      <c r="R143" s="128">
        <f t="shared" si="17"/>
        <v>0.25902144871212684</v>
      </c>
    </row>
    <row r="144" spans="1:18" ht="12.75">
      <c r="A144" t="s">
        <v>305</v>
      </c>
      <c r="B144" s="116">
        <v>0.8284722222222222</v>
      </c>
      <c r="C144" s="116">
        <v>0.9791666666666666</v>
      </c>
      <c r="D144" s="116">
        <v>0.1875</v>
      </c>
      <c r="E144" s="116">
        <v>0.3423611111111111</v>
      </c>
      <c r="F144" t="s">
        <v>157</v>
      </c>
      <c r="H144" s="59">
        <f aca="true" t="shared" si="19" ref="H144:H207">$K$5-C144</f>
        <v>0.02083333333333337</v>
      </c>
      <c r="I144" s="234">
        <f aca="true" t="shared" si="20" ref="I144:I207">C144-B144</f>
        <v>0.15069444444444446</v>
      </c>
      <c r="J144" s="234">
        <f aca="true" t="shared" si="21" ref="J144:J207">D144-E144</f>
        <v>-0.15486111111111112</v>
      </c>
      <c r="K144" s="121">
        <f aca="true" t="shared" si="22" ref="K144:K207">IF(AND($H144&lt;0.5,$I144&gt;=0,$J144&lt;0),($C144-$B144)+($E144-$D144),IF(AND($H144&lt;0.5,$I144&gt;=0,$J144&gt;=0),($C144-$B144),IF(AND($H144&lt;0.5,$I144&lt;0,$J144&gt;=0),0,IF(AND($H144&lt;0.5,$I144&lt;0,$J144&lt;0),$E144-$D144,IF(AND($H144&gt;=0.5,$I144&lt;0,$J144&lt;0),($C144-$K$7)+($K$5-$B144)+(E144-D144),IF(AND($H144&gt;=0.5,$I144&lt;0,$J144&gt;=0),($C144-$K$7)+($K$5-$B144),0))))))</f>
        <v>0.3055555555555556</v>
      </c>
      <c r="L144" s="233">
        <f aca="true" t="shared" si="23" ref="L144:L207">IF(AND($H144&lt;0.5,$I144&gt;=0,$J144&lt;0),($K$5-$C144)+($D144-$K$7),IF(AND($H144&lt;0.5,$I144&gt;=0,$J144&gt;=0),($K$5-$C144)+($E144-$K$7),IF(AND($H144&lt;0.5,$I144&lt;0,$J144&gt;=0),($K$5-$C144)+($D144-$K$7),IF(AND($H144&lt;0.5,$I144&lt;0,$J144&lt;0),($K$5-$C144)+($D144-$K$7),IF(AND($H144&gt;=0.5,$I144&lt;0,$J144&lt;0),$D144-$C144,IF(AND($H144&gt;=0.5,$I144&lt;0,$J144&gt;=0),$E144-$C144,0))))))</f>
        <v>0.20833333333333337</v>
      </c>
      <c r="M144" s="121">
        <f t="shared" si="18"/>
        <v>0.513888888888889</v>
      </c>
      <c r="N144" s="59">
        <f aca="true" t="shared" si="24" ref="N144:O207">K144/$S$3</f>
        <v>7.333333334506667</v>
      </c>
      <c r="O144" s="59">
        <f t="shared" si="24"/>
        <v>5.000000000800001</v>
      </c>
      <c r="P144" s="101">
        <f>Puissance_en_nominale*Simulation!N144+Puissance_en_economie*Simulation!O144</f>
        <v>459.7077505461431</v>
      </c>
      <c r="Q144" s="101">
        <f aca="true" t="shared" si="25" ref="Q144:Q207">Puissance_à_la_tension_réseau*(N144+O144)</f>
        <v>617.9000000988642</v>
      </c>
      <c r="R144" s="128">
        <f aca="true" t="shared" si="26" ref="R144:R207">1-P144/Q144</f>
        <v>0.2560159403259594</v>
      </c>
    </row>
    <row r="145" spans="1:18" ht="12.75">
      <c r="A145" t="s">
        <v>306</v>
      </c>
      <c r="B145" s="116">
        <v>0.8069444444444445</v>
      </c>
      <c r="C145" s="116">
        <v>0.9583333333333334</v>
      </c>
      <c r="D145" s="116">
        <v>0.20833333333333334</v>
      </c>
      <c r="E145" s="116">
        <v>0.3423611111111111</v>
      </c>
      <c r="F145" t="s">
        <v>180</v>
      </c>
      <c r="H145" s="59">
        <f t="shared" si="19"/>
        <v>0.04166666666666663</v>
      </c>
      <c r="I145" s="234">
        <f t="shared" si="20"/>
        <v>0.1513888888888889</v>
      </c>
      <c r="J145" s="234">
        <f t="shared" si="21"/>
        <v>-0.13402777777777777</v>
      </c>
      <c r="K145" s="121">
        <f t="shared" si="22"/>
        <v>0.28541666666666665</v>
      </c>
      <c r="L145" s="233">
        <f t="shared" si="23"/>
        <v>0.24999999999999997</v>
      </c>
      <c r="M145" s="121">
        <f t="shared" si="18"/>
        <v>0.5354166666666667</v>
      </c>
      <c r="N145" s="59">
        <f t="shared" si="24"/>
        <v>6.850000001096</v>
      </c>
      <c r="O145" s="59">
        <f t="shared" si="24"/>
        <v>6.00000000096</v>
      </c>
      <c r="P145" s="101">
        <f>Puissance_en_nominale*Simulation!N145+Puissance_en_economie*Simulation!O145</f>
        <v>470.2060208691839</v>
      </c>
      <c r="Q145" s="101">
        <f t="shared" si="25"/>
        <v>643.7850001030057</v>
      </c>
      <c r="R145" s="128">
        <f t="shared" si="26"/>
        <v>0.2696225901598347</v>
      </c>
    </row>
    <row r="146" spans="1:18" ht="12.75">
      <c r="A146" t="s">
        <v>307</v>
      </c>
      <c r="B146" s="116">
        <v>0.8069444444444445</v>
      </c>
      <c r="C146" s="116">
        <v>0.9583333333333334</v>
      </c>
      <c r="D146" s="116">
        <v>0.20833333333333334</v>
      </c>
      <c r="E146" s="116">
        <v>0.325</v>
      </c>
      <c r="F146" t="s">
        <v>180</v>
      </c>
      <c r="H146" s="59">
        <f t="shared" si="19"/>
        <v>0.04166666666666663</v>
      </c>
      <c r="I146" s="234">
        <f t="shared" si="20"/>
        <v>0.1513888888888889</v>
      </c>
      <c r="J146" s="234">
        <f t="shared" si="21"/>
        <v>-0.11666666666666667</v>
      </c>
      <c r="K146" s="121">
        <f t="shared" si="22"/>
        <v>0.2680555555555556</v>
      </c>
      <c r="L146" s="233">
        <f t="shared" si="23"/>
        <v>0.24999999999999997</v>
      </c>
      <c r="M146" s="121">
        <f t="shared" si="18"/>
        <v>0.5180555555555556</v>
      </c>
      <c r="N146" s="59">
        <f t="shared" si="24"/>
        <v>6.433333334362668</v>
      </c>
      <c r="O146" s="59">
        <f t="shared" si="24"/>
        <v>6.00000000096</v>
      </c>
      <c r="P146" s="101">
        <f>Puissance_en_nominale*Simulation!N146+Puissance_en_economie*Simulation!O146</f>
        <v>452.80361065846</v>
      </c>
      <c r="Q146" s="101">
        <f t="shared" si="25"/>
        <v>622.9100000996658</v>
      </c>
      <c r="R146" s="128">
        <f t="shared" si="26"/>
        <v>0.2730834139987939</v>
      </c>
    </row>
    <row r="147" spans="1:18" ht="12.75">
      <c r="A147" t="s">
        <v>308</v>
      </c>
      <c r="B147" s="116">
        <v>0.8277777777777778</v>
      </c>
      <c r="C147" s="116">
        <v>0.9791666666666666</v>
      </c>
      <c r="D147" s="116">
        <v>0.1875</v>
      </c>
      <c r="E147" s="116">
        <v>0.32430555555555557</v>
      </c>
      <c r="F147" t="s">
        <v>157</v>
      </c>
      <c r="H147" s="59">
        <f t="shared" si="19"/>
        <v>0.02083333333333337</v>
      </c>
      <c r="I147" s="234">
        <f t="shared" si="20"/>
        <v>0.1513888888888888</v>
      </c>
      <c r="J147" s="234">
        <f t="shared" si="21"/>
        <v>-0.13680555555555557</v>
      </c>
      <c r="K147" s="121">
        <f t="shared" si="22"/>
        <v>0.28819444444444436</v>
      </c>
      <c r="L147" s="233">
        <f t="shared" si="23"/>
        <v>0.20833333333333337</v>
      </c>
      <c r="M147" s="121">
        <f t="shared" si="18"/>
        <v>0.49652777777777773</v>
      </c>
      <c r="N147" s="59">
        <f t="shared" si="24"/>
        <v>6.916666667773332</v>
      </c>
      <c r="O147" s="59">
        <f t="shared" si="24"/>
        <v>5.000000000800001</v>
      </c>
      <c r="P147" s="101">
        <f>Puissance_en_nominale*Simulation!N147+Puissance_en_economie*Simulation!O147</f>
        <v>442.30534033541915</v>
      </c>
      <c r="Q147" s="101">
        <f t="shared" si="25"/>
        <v>597.0250000955241</v>
      </c>
      <c r="R147" s="128">
        <f t="shared" si="26"/>
        <v>0.25915105688262596</v>
      </c>
    </row>
    <row r="148" spans="1:18" ht="12.75">
      <c r="A148" t="s">
        <v>309</v>
      </c>
      <c r="B148" s="116">
        <v>0.8277777777777778</v>
      </c>
      <c r="C148" s="116">
        <v>0.9791666666666666</v>
      </c>
      <c r="D148" s="116">
        <v>0.1875</v>
      </c>
      <c r="E148" s="116">
        <v>0.32430555555555557</v>
      </c>
      <c r="F148" t="s">
        <v>157</v>
      </c>
      <c r="H148" s="59">
        <f t="shared" si="19"/>
        <v>0.02083333333333337</v>
      </c>
      <c r="I148" s="234">
        <f t="shared" si="20"/>
        <v>0.1513888888888888</v>
      </c>
      <c r="J148" s="234">
        <f t="shared" si="21"/>
        <v>-0.13680555555555557</v>
      </c>
      <c r="K148" s="121">
        <f t="shared" si="22"/>
        <v>0.28819444444444436</v>
      </c>
      <c r="L148" s="233">
        <f t="shared" si="23"/>
        <v>0.20833333333333337</v>
      </c>
      <c r="M148" s="121">
        <f t="shared" si="18"/>
        <v>0.49652777777777773</v>
      </c>
      <c r="N148" s="59">
        <f t="shared" si="24"/>
        <v>6.916666667773332</v>
      </c>
      <c r="O148" s="59">
        <f t="shared" si="24"/>
        <v>5.000000000800001</v>
      </c>
      <c r="P148" s="101">
        <f>Puissance_en_nominale*Simulation!N148+Puissance_en_economie*Simulation!O148</f>
        <v>442.30534033541915</v>
      </c>
      <c r="Q148" s="101">
        <f t="shared" si="25"/>
        <v>597.0250000955241</v>
      </c>
      <c r="R148" s="128">
        <f t="shared" si="26"/>
        <v>0.25915105688262596</v>
      </c>
    </row>
    <row r="149" spans="1:18" ht="12.75">
      <c r="A149" t="s">
        <v>310</v>
      </c>
      <c r="B149" s="116">
        <v>0.8270833333333334</v>
      </c>
      <c r="C149" s="116">
        <v>0.9791666666666666</v>
      </c>
      <c r="D149" s="116">
        <v>0.1875</v>
      </c>
      <c r="E149" s="116">
        <v>0.32430555555555557</v>
      </c>
      <c r="F149" t="s">
        <v>157</v>
      </c>
      <c r="H149" s="59">
        <f t="shared" si="19"/>
        <v>0.02083333333333337</v>
      </c>
      <c r="I149" s="234">
        <f t="shared" si="20"/>
        <v>0.15208333333333324</v>
      </c>
      <c r="J149" s="234">
        <f t="shared" si="21"/>
        <v>-0.13680555555555557</v>
      </c>
      <c r="K149" s="121">
        <f t="shared" si="22"/>
        <v>0.2888888888888888</v>
      </c>
      <c r="L149" s="233">
        <f t="shared" si="23"/>
        <v>0.20833333333333337</v>
      </c>
      <c r="M149" s="121">
        <f t="shared" si="18"/>
        <v>0.4972222222222222</v>
      </c>
      <c r="N149" s="59">
        <f t="shared" si="24"/>
        <v>6.933333334442665</v>
      </c>
      <c r="O149" s="59">
        <f t="shared" si="24"/>
        <v>5.000000000800001</v>
      </c>
      <c r="P149" s="101">
        <f>Puissance_en_nominale*Simulation!N149+Puissance_en_economie*Simulation!O149</f>
        <v>443.0014367438481</v>
      </c>
      <c r="Q149" s="101">
        <f t="shared" si="25"/>
        <v>597.8600000956576</v>
      </c>
      <c r="R149" s="128">
        <f t="shared" si="26"/>
        <v>0.25902144871212684</v>
      </c>
    </row>
    <row r="150" spans="1:18" ht="12.75">
      <c r="A150" t="s">
        <v>311</v>
      </c>
      <c r="B150" s="116">
        <v>0.8270833333333334</v>
      </c>
      <c r="C150" s="116">
        <v>0.9791666666666666</v>
      </c>
      <c r="D150" s="116">
        <v>0.1875</v>
      </c>
      <c r="E150" s="116">
        <v>0.32430555555555557</v>
      </c>
      <c r="F150" t="s">
        <v>157</v>
      </c>
      <c r="H150" s="59">
        <f t="shared" si="19"/>
        <v>0.02083333333333337</v>
      </c>
      <c r="I150" s="234">
        <f t="shared" si="20"/>
        <v>0.15208333333333324</v>
      </c>
      <c r="J150" s="234">
        <f t="shared" si="21"/>
        <v>-0.13680555555555557</v>
      </c>
      <c r="K150" s="121">
        <f t="shared" si="22"/>
        <v>0.2888888888888888</v>
      </c>
      <c r="L150" s="233">
        <f t="shared" si="23"/>
        <v>0.20833333333333337</v>
      </c>
      <c r="M150" s="121">
        <f t="shared" si="18"/>
        <v>0.4972222222222222</v>
      </c>
      <c r="N150" s="59">
        <f t="shared" si="24"/>
        <v>6.933333334442665</v>
      </c>
      <c r="O150" s="59">
        <f t="shared" si="24"/>
        <v>5.000000000800001</v>
      </c>
      <c r="P150" s="101">
        <f>Puissance_en_nominale*Simulation!N150+Puissance_en_economie*Simulation!O150</f>
        <v>443.0014367438481</v>
      </c>
      <c r="Q150" s="101">
        <f t="shared" si="25"/>
        <v>597.8600000956576</v>
      </c>
      <c r="R150" s="128">
        <f t="shared" si="26"/>
        <v>0.25902144871212684</v>
      </c>
    </row>
    <row r="151" spans="1:18" ht="12.75">
      <c r="A151" t="s">
        <v>312</v>
      </c>
      <c r="B151" s="116">
        <v>0.8270833333333334</v>
      </c>
      <c r="C151" s="116">
        <v>0.9791666666666666</v>
      </c>
      <c r="D151" s="116">
        <v>0.1875</v>
      </c>
      <c r="E151" s="116">
        <v>0.34097222222222223</v>
      </c>
      <c r="F151" t="s">
        <v>157</v>
      </c>
      <c r="H151" s="59">
        <f t="shared" si="19"/>
        <v>0.02083333333333337</v>
      </c>
      <c r="I151" s="234">
        <f t="shared" si="20"/>
        <v>0.15208333333333324</v>
      </c>
      <c r="J151" s="234">
        <f t="shared" si="21"/>
        <v>-0.15347222222222223</v>
      </c>
      <c r="K151" s="121">
        <f t="shared" si="22"/>
        <v>0.30555555555555547</v>
      </c>
      <c r="L151" s="233">
        <f t="shared" si="23"/>
        <v>0.20833333333333337</v>
      </c>
      <c r="M151" s="121">
        <f t="shared" si="18"/>
        <v>0.5138888888888888</v>
      </c>
      <c r="N151" s="59">
        <f t="shared" si="24"/>
        <v>7.333333334506665</v>
      </c>
      <c r="O151" s="59">
        <f t="shared" si="24"/>
        <v>5.000000000800001</v>
      </c>
      <c r="P151" s="101">
        <f>Puissance_en_nominale*Simulation!N151+Puissance_en_economie*Simulation!O151</f>
        <v>459.70775054614296</v>
      </c>
      <c r="Q151" s="101">
        <f t="shared" si="25"/>
        <v>617.9000000988641</v>
      </c>
      <c r="R151" s="128">
        <f t="shared" si="26"/>
        <v>0.2560159403259594</v>
      </c>
    </row>
    <row r="152" spans="1:18" ht="12.75">
      <c r="A152" t="s">
        <v>313</v>
      </c>
      <c r="B152" s="116">
        <v>0.8055555555555555</v>
      </c>
      <c r="C152" s="116">
        <v>0.9583333333333334</v>
      </c>
      <c r="D152" s="116">
        <v>0.20833333333333334</v>
      </c>
      <c r="E152" s="116">
        <v>0.34097222222222223</v>
      </c>
      <c r="F152" t="s">
        <v>180</v>
      </c>
      <c r="H152" s="59">
        <f t="shared" si="19"/>
        <v>0.04166666666666663</v>
      </c>
      <c r="I152" s="234">
        <f t="shared" si="20"/>
        <v>0.1527777777777779</v>
      </c>
      <c r="J152" s="234">
        <f t="shared" si="21"/>
        <v>-0.1326388888888889</v>
      </c>
      <c r="K152" s="121">
        <f t="shared" si="22"/>
        <v>0.28541666666666676</v>
      </c>
      <c r="L152" s="233">
        <f t="shared" si="23"/>
        <v>0.24999999999999997</v>
      </c>
      <c r="M152" s="121">
        <f t="shared" si="18"/>
        <v>0.5354166666666668</v>
      </c>
      <c r="N152" s="59">
        <f t="shared" si="24"/>
        <v>6.850000001096003</v>
      </c>
      <c r="O152" s="59">
        <f t="shared" si="24"/>
        <v>6.00000000096</v>
      </c>
      <c r="P152" s="101">
        <f>Puissance_en_nominale*Simulation!N152+Puissance_en_economie*Simulation!O152</f>
        <v>470.206020869184</v>
      </c>
      <c r="Q152" s="101">
        <f t="shared" si="25"/>
        <v>643.7850001030058</v>
      </c>
      <c r="R152" s="128">
        <f t="shared" si="26"/>
        <v>0.2696225901598346</v>
      </c>
    </row>
    <row r="153" spans="1:18" ht="12.75">
      <c r="A153" t="s">
        <v>314</v>
      </c>
      <c r="B153" s="116">
        <v>0.8055555555555555</v>
      </c>
      <c r="C153" s="116">
        <v>0.9583333333333334</v>
      </c>
      <c r="D153" s="116">
        <v>0.20833333333333334</v>
      </c>
      <c r="E153" s="116">
        <v>0.3236111111111111</v>
      </c>
      <c r="F153" t="s">
        <v>180</v>
      </c>
      <c r="H153" s="59">
        <f t="shared" si="19"/>
        <v>0.04166666666666663</v>
      </c>
      <c r="I153" s="234">
        <f t="shared" si="20"/>
        <v>0.1527777777777779</v>
      </c>
      <c r="J153" s="234">
        <f t="shared" si="21"/>
        <v>-0.11527777777777778</v>
      </c>
      <c r="K153" s="121">
        <f t="shared" si="22"/>
        <v>0.2680555555555557</v>
      </c>
      <c r="L153" s="233">
        <f t="shared" si="23"/>
        <v>0.24999999999999997</v>
      </c>
      <c r="M153" s="121">
        <f t="shared" si="18"/>
        <v>0.5180555555555557</v>
      </c>
      <c r="N153" s="59">
        <f t="shared" si="24"/>
        <v>6.433333334362671</v>
      </c>
      <c r="O153" s="59">
        <f t="shared" si="24"/>
        <v>6.00000000096</v>
      </c>
      <c r="P153" s="101">
        <f>Puissance_en_nominale*Simulation!N153+Puissance_en_economie*Simulation!O153</f>
        <v>452.8036106584601</v>
      </c>
      <c r="Q153" s="101">
        <f t="shared" si="25"/>
        <v>622.9100000996659</v>
      </c>
      <c r="R153" s="128">
        <f t="shared" si="26"/>
        <v>0.2730834139987939</v>
      </c>
    </row>
    <row r="154" spans="1:18" ht="12.75">
      <c r="A154" t="s">
        <v>315</v>
      </c>
      <c r="B154" s="116">
        <v>0.8263888888888888</v>
      </c>
      <c r="C154" s="116">
        <v>0.9791666666666666</v>
      </c>
      <c r="D154" s="116">
        <v>0.1875</v>
      </c>
      <c r="E154" s="116">
        <v>0.3229166666666667</v>
      </c>
      <c r="F154" t="s">
        <v>157</v>
      </c>
      <c r="H154" s="59">
        <f t="shared" si="19"/>
        <v>0.02083333333333337</v>
      </c>
      <c r="I154" s="234">
        <f t="shared" si="20"/>
        <v>0.1527777777777778</v>
      </c>
      <c r="J154" s="234">
        <f t="shared" si="21"/>
        <v>-0.13541666666666669</v>
      </c>
      <c r="K154" s="121">
        <f t="shared" si="22"/>
        <v>0.2881944444444445</v>
      </c>
      <c r="L154" s="233">
        <f t="shared" si="23"/>
        <v>0.20833333333333337</v>
      </c>
      <c r="M154" s="121">
        <f t="shared" si="18"/>
        <v>0.49652777777777785</v>
      </c>
      <c r="N154" s="59">
        <f t="shared" si="24"/>
        <v>6.916666667773335</v>
      </c>
      <c r="O154" s="59">
        <f t="shared" si="24"/>
        <v>5.000000000800001</v>
      </c>
      <c r="P154" s="101">
        <f>Puissance_en_nominale*Simulation!N154+Puissance_en_economie*Simulation!O154</f>
        <v>442.30534033541926</v>
      </c>
      <c r="Q154" s="101">
        <f t="shared" si="25"/>
        <v>597.0250000955242</v>
      </c>
      <c r="R154" s="128">
        <f t="shared" si="26"/>
        <v>0.25915105688262596</v>
      </c>
    </row>
    <row r="155" spans="1:18" ht="12.75">
      <c r="A155" t="s">
        <v>316</v>
      </c>
      <c r="B155" s="116">
        <v>0.8256944444444444</v>
      </c>
      <c r="C155" s="116">
        <v>0.9791666666666666</v>
      </c>
      <c r="D155" s="116">
        <v>0.1875</v>
      </c>
      <c r="E155" s="116">
        <v>0.3229166666666667</v>
      </c>
      <c r="F155" t="s">
        <v>157</v>
      </c>
      <c r="H155" s="59">
        <f t="shared" si="19"/>
        <v>0.02083333333333337</v>
      </c>
      <c r="I155" s="234">
        <f t="shared" si="20"/>
        <v>0.15347222222222223</v>
      </c>
      <c r="J155" s="234">
        <f t="shared" si="21"/>
        <v>-0.13541666666666669</v>
      </c>
      <c r="K155" s="121">
        <f t="shared" si="22"/>
        <v>0.2888888888888889</v>
      </c>
      <c r="L155" s="233">
        <f t="shared" si="23"/>
        <v>0.20833333333333337</v>
      </c>
      <c r="M155" s="121">
        <f t="shared" si="18"/>
        <v>0.4972222222222223</v>
      </c>
      <c r="N155" s="59">
        <f t="shared" si="24"/>
        <v>6.9333333344426675</v>
      </c>
      <c r="O155" s="59">
        <f t="shared" si="24"/>
        <v>5.000000000800001</v>
      </c>
      <c r="P155" s="101">
        <f>Puissance_en_nominale*Simulation!N155+Puissance_en_economie*Simulation!O155</f>
        <v>443.0014367438482</v>
      </c>
      <c r="Q155" s="101">
        <f t="shared" si="25"/>
        <v>597.8600000956578</v>
      </c>
      <c r="R155" s="128">
        <f t="shared" si="26"/>
        <v>0.25902144871212684</v>
      </c>
    </row>
    <row r="156" spans="1:18" ht="12.75">
      <c r="A156" t="s">
        <v>317</v>
      </c>
      <c r="B156" s="116">
        <v>0.8256944444444444</v>
      </c>
      <c r="C156" s="116">
        <v>0.9791666666666666</v>
      </c>
      <c r="D156" s="116">
        <v>0.1875</v>
      </c>
      <c r="E156" s="116">
        <v>0.3229166666666667</v>
      </c>
      <c r="F156" t="s">
        <v>157</v>
      </c>
      <c r="H156" s="59">
        <f t="shared" si="19"/>
        <v>0.02083333333333337</v>
      </c>
      <c r="I156" s="234">
        <f t="shared" si="20"/>
        <v>0.15347222222222223</v>
      </c>
      <c r="J156" s="234">
        <f t="shared" si="21"/>
        <v>-0.13541666666666669</v>
      </c>
      <c r="K156" s="121">
        <f t="shared" si="22"/>
        <v>0.2888888888888889</v>
      </c>
      <c r="L156" s="233">
        <f t="shared" si="23"/>
        <v>0.20833333333333337</v>
      </c>
      <c r="M156" s="121">
        <f t="shared" si="18"/>
        <v>0.4972222222222223</v>
      </c>
      <c r="N156" s="59">
        <f t="shared" si="24"/>
        <v>6.9333333344426675</v>
      </c>
      <c r="O156" s="59">
        <f t="shared" si="24"/>
        <v>5.000000000800001</v>
      </c>
      <c r="P156" s="101">
        <f>Puissance_en_nominale*Simulation!N156+Puissance_en_economie*Simulation!O156</f>
        <v>443.0014367438482</v>
      </c>
      <c r="Q156" s="101">
        <f t="shared" si="25"/>
        <v>597.8600000956578</v>
      </c>
      <c r="R156" s="128">
        <f t="shared" si="26"/>
        <v>0.25902144871212684</v>
      </c>
    </row>
    <row r="157" spans="1:18" ht="12.75">
      <c r="A157" t="s">
        <v>318</v>
      </c>
      <c r="B157" s="116">
        <v>0.8256944444444444</v>
      </c>
      <c r="C157" s="116">
        <v>0.9791666666666666</v>
      </c>
      <c r="D157" s="116">
        <v>0.1875</v>
      </c>
      <c r="E157" s="116">
        <v>0.3229166666666667</v>
      </c>
      <c r="F157" t="s">
        <v>157</v>
      </c>
      <c r="H157" s="59">
        <f t="shared" si="19"/>
        <v>0.02083333333333337</v>
      </c>
      <c r="I157" s="234">
        <f t="shared" si="20"/>
        <v>0.15347222222222223</v>
      </c>
      <c r="J157" s="234">
        <f t="shared" si="21"/>
        <v>-0.13541666666666669</v>
      </c>
      <c r="K157" s="121">
        <f t="shared" si="22"/>
        <v>0.2888888888888889</v>
      </c>
      <c r="L157" s="233">
        <f t="shared" si="23"/>
        <v>0.20833333333333337</v>
      </c>
      <c r="M157" s="121">
        <f t="shared" si="18"/>
        <v>0.4972222222222223</v>
      </c>
      <c r="N157" s="59">
        <f t="shared" si="24"/>
        <v>6.9333333344426675</v>
      </c>
      <c r="O157" s="59">
        <f t="shared" si="24"/>
        <v>5.000000000800001</v>
      </c>
      <c r="P157" s="101">
        <f>Puissance_en_nominale*Simulation!N157+Puissance_en_economie*Simulation!O157</f>
        <v>443.0014367438482</v>
      </c>
      <c r="Q157" s="101">
        <f t="shared" si="25"/>
        <v>597.8600000956578</v>
      </c>
      <c r="R157" s="128">
        <f t="shared" si="26"/>
        <v>0.25902144871212684</v>
      </c>
    </row>
    <row r="158" spans="1:18" ht="12.75">
      <c r="A158" t="s">
        <v>319</v>
      </c>
      <c r="B158" s="116">
        <v>0.8256944444444444</v>
      </c>
      <c r="C158" s="116">
        <v>0.9791666666666666</v>
      </c>
      <c r="D158" s="116">
        <v>0.1875</v>
      </c>
      <c r="E158" s="116">
        <v>0.33958333333333335</v>
      </c>
      <c r="F158" t="s">
        <v>157</v>
      </c>
      <c r="H158" s="59">
        <f t="shared" si="19"/>
        <v>0.02083333333333337</v>
      </c>
      <c r="I158" s="234">
        <f t="shared" si="20"/>
        <v>0.15347222222222223</v>
      </c>
      <c r="J158" s="234">
        <f t="shared" si="21"/>
        <v>-0.15208333333333335</v>
      </c>
      <c r="K158" s="121">
        <f t="shared" si="22"/>
        <v>0.3055555555555556</v>
      </c>
      <c r="L158" s="233">
        <f t="shared" si="23"/>
        <v>0.20833333333333337</v>
      </c>
      <c r="M158" s="121">
        <f t="shared" si="18"/>
        <v>0.513888888888889</v>
      </c>
      <c r="N158" s="59">
        <f t="shared" si="24"/>
        <v>7.333333334506667</v>
      </c>
      <c r="O158" s="59">
        <f t="shared" si="24"/>
        <v>5.000000000800001</v>
      </c>
      <c r="P158" s="101">
        <f>Puissance_en_nominale*Simulation!N158+Puissance_en_economie*Simulation!O158</f>
        <v>459.7077505461431</v>
      </c>
      <c r="Q158" s="101">
        <f t="shared" si="25"/>
        <v>617.9000000988642</v>
      </c>
      <c r="R158" s="128">
        <f t="shared" si="26"/>
        <v>0.2560159403259594</v>
      </c>
    </row>
    <row r="159" spans="1:18" ht="12.75">
      <c r="A159" t="s">
        <v>320</v>
      </c>
      <c r="B159" s="116">
        <v>0.8041666666666667</v>
      </c>
      <c r="C159" s="116">
        <v>0.9583333333333334</v>
      </c>
      <c r="D159" s="116">
        <v>0.20833333333333334</v>
      </c>
      <c r="E159" s="116">
        <v>0.33958333333333335</v>
      </c>
      <c r="F159" t="s">
        <v>180</v>
      </c>
      <c r="H159" s="59">
        <f t="shared" si="19"/>
        <v>0.04166666666666663</v>
      </c>
      <c r="I159" s="234">
        <f t="shared" si="20"/>
        <v>0.15416666666666667</v>
      </c>
      <c r="J159" s="234">
        <f t="shared" si="21"/>
        <v>-0.13125</v>
      </c>
      <c r="K159" s="121">
        <f t="shared" si="22"/>
        <v>0.28541666666666665</v>
      </c>
      <c r="L159" s="233">
        <f t="shared" si="23"/>
        <v>0.24999999999999997</v>
      </c>
      <c r="M159" s="121">
        <f t="shared" si="18"/>
        <v>0.5354166666666667</v>
      </c>
      <c r="N159" s="59">
        <f t="shared" si="24"/>
        <v>6.850000001096</v>
      </c>
      <c r="O159" s="59">
        <f t="shared" si="24"/>
        <v>6.00000000096</v>
      </c>
      <c r="P159" s="101">
        <f>Puissance_en_nominale*Simulation!N159+Puissance_en_economie*Simulation!O159</f>
        <v>470.2060208691839</v>
      </c>
      <c r="Q159" s="101">
        <f t="shared" si="25"/>
        <v>643.7850001030057</v>
      </c>
      <c r="R159" s="128">
        <f t="shared" si="26"/>
        <v>0.2696225901598347</v>
      </c>
    </row>
    <row r="160" spans="1:18" ht="12.75">
      <c r="A160" t="s">
        <v>321</v>
      </c>
      <c r="B160" s="116">
        <v>0.8041666666666667</v>
      </c>
      <c r="C160" s="116">
        <v>0.9583333333333334</v>
      </c>
      <c r="D160" s="116">
        <v>0.20833333333333334</v>
      </c>
      <c r="E160" s="116">
        <v>0.32222222222222224</v>
      </c>
      <c r="F160" t="s">
        <v>180</v>
      </c>
      <c r="H160" s="59">
        <f t="shared" si="19"/>
        <v>0.04166666666666663</v>
      </c>
      <c r="I160" s="234">
        <f t="shared" si="20"/>
        <v>0.15416666666666667</v>
      </c>
      <c r="J160" s="234">
        <f t="shared" si="21"/>
        <v>-0.1138888888888889</v>
      </c>
      <c r="K160" s="121">
        <f t="shared" si="22"/>
        <v>0.2680555555555556</v>
      </c>
      <c r="L160" s="233">
        <f t="shared" si="23"/>
        <v>0.24999999999999997</v>
      </c>
      <c r="M160" s="121">
        <f t="shared" si="18"/>
        <v>0.5180555555555556</v>
      </c>
      <c r="N160" s="59">
        <f t="shared" si="24"/>
        <v>6.433333334362668</v>
      </c>
      <c r="O160" s="59">
        <f t="shared" si="24"/>
        <v>6.00000000096</v>
      </c>
      <c r="P160" s="101">
        <f>Puissance_en_nominale*Simulation!N160+Puissance_en_economie*Simulation!O160</f>
        <v>452.80361065846</v>
      </c>
      <c r="Q160" s="101">
        <f t="shared" si="25"/>
        <v>622.9100000996658</v>
      </c>
      <c r="R160" s="128">
        <f t="shared" si="26"/>
        <v>0.2730834139987939</v>
      </c>
    </row>
    <row r="161" spans="1:18" ht="12.75">
      <c r="A161" t="s">
        <v>322</v>
      </c>
      <c r="B161" s="116">
        <v>0.825</v>
      </c>
      <c r="C161" s="116">
        <v>0.9791666666666666</v>
      </c>
      <c r="D161" s="116">
        <v>0.1875</v>
      </c>
      <c r="E161" s="116">
        <v>0.32222222222222224</v>
      </c>
      <c r="F161" t="s">
        <v>157</v>
      </c>
      <c r="H161" s="59">
        <f t="shared" si="19"/>
        <v>0.02083333333333337</v>
      </c>
      <c r="I161" s="234">
        <f t="shared" si="20"/>
        <v>0.15416666666666667</v>
      </c>
      <c r="J161" s="234">
        <f t="shared" si="21"/>
        <v>-0.13472222222222224</v>
      </c>
      <c r="K161" s="121">
        <f t="shared" si="22"/>
        <v>0.2888888888888889</v>
      </c>
      <c r="L161" s="233">
        <f t="shared" si="23"/>
        <v>0.20833333333333337</v>
      </c>
      <c r="M161" s="121">
        <f t="shared" si="18"/>
        <v>0.4972222222222223</v>
      </c>
      <c r="N161" s="59">
        <f t="shared" si="24"/>
        <v>6.9333333344426675</v>
      </c>
      <c r="O161" s="59">
        <f t="shared" si="24"/>
        <v>5.000000000800001</v>
      </c>
      <c r="P161" s="101">
        <f>Puissance_en_nominale*Simulation!N161+Puissance_en_economie*Simulation!O161</f>
        <v>443.0014367438482</v>
      </c>
      <c r="Q161" s="101">
        <f t="shared" si="25"/>
        <v>597.8600000956578</v>
      </c>
      <c r="R161" s="128">
        <f t="shared" si="26"/>
        <v>0.25902144871212684</v>
      </c>
    </row>
    <row r="162" spans="1:18" ht="12.75">
      <c r="A162" t="s">
        <v>323</v>
      </c>
      <c r="B162" s="116">
        <v>0.825</v>
      </c>
      <c r="C162" s="116">
        <v>0.9791666666666666</v>
      </c>
      <c r="D162" s="116">
        <v>0.1875</v>
      </c>
      <c r="E162" s="116">
        <v>0.3215277777777778</v>
      </c>
      <c r="F162" t="s">
        <v>157</v>
      </c>
      <c r="H162" s="59">
        <f t="shared" si="19"/>
        <v>0.02083333333333337</v>
      </c>
      <c r="I162" s="234">
        <f t="shared" si="20"/>
        <v>0.15416666666666667</v>
      </c>
      <c r="J162" s="234">
        <f t="shared" si="21"/>
        <v>-0.1340277777777778</v>
      </c>
      <c r="K162" s="121">
        <f t="shared" si="22"/>
        <v>0.2881944444444445</v>
      </c>
      <c r="L162" s="233">
        <f t="shared" si="23"/>
        <v>0.20833333333333337</v>
      </c>
      <c r="M162" s="121">
        <f t="shared" si="18"/>
        <v>0.49652777777777785</v>
      </c>
      <c r="N162" s="59">
        <f t="shared" si="24"/>
        <v>6.916666667773335</v>
      </c>
      <c r="O162" s="59">
        <f t="shared" si="24"/>
        <v>5.000000000800001</v>
      </c>
      <c r="P162" s="101">
        <f>Puissance_en_nominale*Simulation!N162+Puissance_en_economie*Simulation!O162</f>
        <v>442.30534033541926</v>
      </c>
      <c r="Q162" s="101">
        <f t="shared" si="25"/>
        <v>597.0250000955242</v>
      </c>
      <c r="R162" s="128">
        <f t="shared" si="26"/>
        <v>0.25915105688262596</v>
      </c>
    </row>
    <row r="163" spans="1:18" ht="12.75">
      <c r="A163" t="s">
        <v>324</v>
      </c>
      <c r="B163" s="116">
        <v>0.825</v>
      </c>
      <c r="C163" s="116">
        <v>0.9791666666666666</v>
      </c>
      <c r="D163" s="116">
        <v>0.1875</v>
      </c>
      <c r="E163" s="116">
        <v>0.3215277777777778</v>
      </c>
      <c r="F163" t="s">
        <v>157</v>
      </c>
      <c r="H163" s="59">
        <f t="shared" si="19"/>
        <v>0.02083333333333337</v>
      </c>
      <c r="I163" s="234">
        <f t="shared" si="20"/>
        <v>0.15416666666666667</v>
      </c>
      <c r="J163" s="234">
        <f t="shared" si="21"/>
        <v>-0.1340277777777778</v>
      </c>
      <c r="K163" s="121">
        <f t="shared" si="22"/>
        <v>0.2881944444444445</v>
      </c>
      <c r="L163" s="233">
        <f t="shared" si="23"/>
        <v>0.20833333333333337</v>
      </c>
      <c r="M163" s="121">
        <f t="shared" si="18"/>
        <v>0.49652777777777785</v>
      </c>
      <c r="N163" s="59">
        <f t="shared" si="24"/>
        <v>6.916666667773335</v>
      </c>
      <c r="O163" s="59">
        <f t="shared" si="24"/>
        <v>5.000000000800001</v>
      </c>
      <c r="P163" s="101">
        <f>Puissance_en_nominale*Simulation!N163+Puissance_en_economie*Simulation!O163</f>
        <v>442.30534033541926</v>
      </c>
      <c r="Q163" s="101">
        <f t="shared" si="25"/>
        <v>597.0250000955242</v>
      </c>
      <c r="R163" s="128">
        <f t="shared" si="26"/>
        <v>0.25915105688262596</v>
      </c>
    </row>
    <row r="164" spans="1:18" ht="12.75">
      <c r="A164" t="s">
        <v>325</v>
      </c>
      <c r="B164" s="116">
        <v>0.8243055555555556</v>
      </c>
      <c r="C164" s="116">
        <v>0.9791666666666666</v>
      </c>
      <c r="D164" s="116">
        <v>0.1875</v>
      </c>
      <c r="E164" s="116">
        <v>0.3215277777777778</v>
      </c>
      <c r="F164" t="s">
        <v>157</v>
      </c>
      <c r="H164" s="59">
        <f t="shared" si="19"/>
        <v>0.02083333333333337</v>
      </c>
      <c r="I164" s="234">
        <f t="shared" si="20"/>
        <v>0.154861111111111</v>
      </c>
      <c r="J164" s="234">
        <f t="shared" si="21"/>
        <v>-0.1340277777777778</v>
      </c>
      <c r="K164" s="121">
        <f t="shared" si="22"/>
        <v>0.2888888888888888</v>
      </c>
      <c r="L164" s="233">
        <f t="shared" si="23"/>
        <v>0.20833333333333337</v>
      </c>
      <c r="M164" s="121">
        <f t="shared" si="18"/>
        <v>0.4972222222222222</v>
      </c>
      <c r="N164" s="59">
        <f t="shared" si="24"/>
        <v>6.933333334442665</v>
      </c>
      <c r="O164" s="59">
        <f t="shared" si="24"/>
        <v>5.000000000800001</v>
      </c>
      <c r="P164" s="101">
        <f>Puissance_en_nominale*Simulation!N164+Puissance_en_economie*Simulation!O164</f>
        <v>443.0014367438481</v>
      </c>
      <c r="Q164" s="101">
        <f t="shared" si="25"/>
        <v>597.8600000956576</v>
      </c>
      <c r="R164" s="128">
        <f t="shared" si="26"/>
        <v>0.25902144871212684</v>
      </c>
    </row>
    <row r="165" spans="1:18" ht="12.75">
      <c r="A165" t="s">
        <v>326</v>
      </c>
      <c r="B165" s="116">
        <v>0.8243055555555556</v>
      </c>
      <c r="C165" s="116">
        <v>0.9791666666666666</v>
      </c>
      <c r="D165" s="116">
        <v>0.1875</v>
      </c>
      <c r="E165" s="116">
        <v>0.33888888888888885</v>
      </c>
      <c r="F165" t="s">
        <v>157</v>
      </c>
      <c r="H165" s="59">
        <f t="shared" si="19"/>
        <v>0.02083333333333337</v>
      </c>
      <c r="I165" s="234">
        <f t="shared" si="20"/>
        <v>0.154861111111111</v>
      </c>
      <c r="J165" s="234">
        <f t="shared" si="21"/>
        <v>-0.15138888888888885</v>
      </c>
      <c r="K165" s="121">
        <f t="shared" si="22"/>
        <v>0.30624999999999986</v>
      </c>
      <c r="L165" s="233">
        <f t="shared" si="23"/>
        <v>0.20833333333333337</v>
      </c>
      <c r="M165" s="121">
        <f t="shared" si="18"/>
        <v>0.5145833333333332</v>
      </c>
      <c r="N165" s="59">
        <f t="shared" si="24"/>
        <v>7.350000001175997</v>
      </c>
      <c r="O165" s="59">
        <f t="shared" si="24"/>
        <v>5.000000000800001</v>
      </c>
      <c r="P165" s="101">
        <f>Puissance_en_nominale*Simulation!N165+Puissance_en_economie*Simulation!O165</f>
        <v>460.4038469545719</v>
      </c>
      <c r="Q165" s="101">
        <f t="shared" si="25"/>
        <v>618.7350000989976</v>
      </c>
      <c r="R165" s="128">
        <f t="shared" si="26"/>
        <v>0.25589493582728096</v>
      </c>
    </row>
    <row r="166" spans="1:18" ht="12.75">
      <c r="A166" t="s">
        <v>327</v>
      </c>
      <c r="B166" s="116">
        <v>0.8034722222222223</v>
      </c>
      <c r="C166" s="116">
        <v>0.9583333333333334</v>
      </c>
      <c r="D166" s="116">
        <v>0.20833333333333334</v>
      </c>
      <c r="E166" s="116">
        <v>0.33888888888888885</v>
      </c>
      <c r="F166" t="s">
        <v>180</v>
      </c>
      <c r="H166" s="59">
        <f t="shared" si="19"/>
        <v>0.04166666666666663</v>
      </c>
      <c r="I166" s="234">
        <f t="shared" si="20"/>
        <v>0.15486111111111112</v>
      </c>
      <c r="J166" s="234">
        <f t="shared" si="21"/>
        <v>-0.1305555555555555</v>
      </c>
      <c r="K166" s="121">
        <f t="shared" si="22"/>
        <v>0.28541666666666665</v>
      </c>
      <c r="L166" s="233">
        <f t="shared" si="23"/>
        <v>0.24999999999999997</v>
      </c>
      <c r="M166" s="121">
        <f t="shared" si="18"/>
        <v>0.5354166666666667</v>
      </c>
      <c r="N166" s="59">
        <f t="shared" si="24"/>
        <v>6.850000001096</v>
      </c>
      <c r="O166" s="59">
        <f t="shared" si="24"/>
        <v>6.00000000096</v>
      </c>
      <c r="P166" s="101">
        <f>Puissance_en_nominale*Simulation!N166+Puissance_en_economie*Simulation!O166</f>
        <v>470.2060208691839</v>
      </c>
      <c r="Q166" s="101">
        <f t="shared" si="25"/>
        <v>643.7850001030057</v>
      </c>
      <c r="R166" s="128">
        <f t="shared" si="26"/>
        <v>0.2696225901598347</v>
      </c>
    </row>
    <row r="167" spans="1:18" ht="12.75">
      <c r="A167" t="s">
        <v>328</v>
      </c>
      <c r="B167" s="116">
        <v>0.8034722222222223</v>
      </c>
      <c r="C167" s="116">
        <v>0.9583333333333334</v>
      </c>
      <c r="D167" s="116">
        <v>0.20833333333333334</v>
      </c>
      <c r="E167" s="116">
        <v>0.3215277777777778</v>
      </c>
      <c r="F167" t="s">
        <v>180</v>
      </c>
      <c r="H167" s="59">
        <f t="shared" si="19"/>
        <v>0.04166666666666663</v>
      </c>
      <c r="I167" s="234">
        <f t="shared" si="20"/>
        <v>0.15486111111111112</v>
      </c>
      <c r="J167" s="234">
        <f t="shared" si="21"/>
        <v>-0.11319444444444446</v>
      </c>
      <c r="K167" s="121">
        <f t="shared" si="22"/>
        <v>0.2680555555555556</v>
      </c>
      <c r="L167" s="233">
        <f t="shared" si="23"/>
        <v>0.24999999999999997</v>
      </c>
      <c r="M167" s="121">
        <f t="shared" si="18"/>
        <v>0.5180555555555556</v>
      </c>
      <c r="N167" s="59">
        <f t="shared" si="24"/>
        <v>6.433333334362668</v>
      </c>
      <c r="O167" s="59">
        <f t="shared" si="24"/>
        <v>6.00000000096</v>
      </c>
      <c r="P167" s="101">
        <f>Puissance_en_nominale*Simulation!N167+Puissance_en_economie*Simulation!O167</f>
        <v>452.80361065846</v>
      </c>
      <c r="Q167" s="101">
        <f t="shared" si="25"/>
        <v>622.9100000996658</v>
      </c>
      <c r="R167" s="128">
        <f t="shared" si="26"/>
        <v>0.2730834139987939</v>
      </c>
    </row>
    <row r="168" spans="1:18" ht="12.75">
      <c r="A168" t="s">
        <v>329</v>
      </c>
      <c r="B168" s="116">
        <v>0.8243055555555556</v>
      </c>
      <c r="C168" s="116">
        <v>0.9791666666666666</v>
      </c>
      <c r="D168" s="116">
        <v>0.1875</v>
      </c>
      <c r="E168" s="116">
        <v>0.32083333333333336</v>
      </c>
      <c r="F168" t="s">
        <v>157</v>
      </c>
      <c r="H168" s="59">
        <f t="shared" si="19"/>
        <v>0.02083333333333337</v>
      </c>
      <c r="I168" s="234">
        <f t="shared" si="20"/>
        <v>0.154861111111111</v>
      </c>
      <c r="J168" s="234">
        <f t="shared" si="21"/>
        <v>-0.13333333333333336</v>
      </c>
      <c r="K168" s="121">
        <f t="shared" si="22"/>
        <v>0.28819444444444436</v>
      </c>
      <c r="L168" s="233">
        <f t="shared" si="23"/>
        <v>0.20833333333333337</v>
      </c>
      <c r="M168" s="121">
        <f t="shared" si="18"/>
        <v>0.49652777777777773</v>
      </c>
      <c r="N168" s="59">
        <f t="shared" si="24"/>
        <v>6.916666667773332</v>
      </c>
      <c r="O168" s="59">
        <f t="shared" si="24"/>
        <v>5.000000000800001</v>
      </c>
      <c r="P168" s="101">
        <f>Puissance_en_nominale*Simulation!N168+Puissance_en_economie*Simulation!O168</f>
        <v>442.30534033541915</v>
      </c>
      <c r="Q168" s="101">
        <f t="shared" si="25"/>
        <v>597.0250000955241</v>
      </c>
      <c r="R168" s="128">
        <f t="shared" si="26"/>
        <v>0.25915105688262596</v>
      </c>
    </row>
    <row r="169" spans="1:18" ht="12.75">
      <c r="A169" t="s">
        <v>330</v>
      </c>
      <c r="B169" s="116">
        <v>0.8243055555555556</v>
      </c>
      <c r="C169" s="116">
        <v>0.9791666666666666</v>
      </c>
      <c r="D169" s="116">
        <v>0.1875</v>
      </c>
      <c r="E169" s="116">
        <v>0.32083333333333336</v>
      </c>
      <c r="F169" t="s">
        <v>157</v>
      </c>
      <c r="H169" s="59">
        <f t="shared" si="19"/>
        <v>0.02083333333333337</v>
      </c>
      <c r="I169" s="234">
        <f t="shared" si="20"/>
        <v>0.154861111111111</v>
      </c>
      <c r="J169" s="234">
        <f t="shared" si="21"/>
        <v>-0.13333333333333336</v>
      </c>
      <c r="K169" s="121">
        <f t="shared" si="22"/>
        <v>0.28819444444444436</v>
      </c>
      <c r="L169" s="233">
        <f t="shared" si="23"/>
        <v>0.20833333333333337</v>
      </c>
      <c r="M169" s="121">
        <f t="shared" si="18"/>
        <v>0.49652777777777773</v>
      </c>
      <c r="N169" s="59">
        <f t="shared" si="24"/>
        <v>6.916666667773332</v>
      </c>
      <c r="O169" s="59">
        <f t="shared" si="24"/>
        <v>5.000000000800001</v>
      </c>
      <c r="P169" s="101">
        <f>Puissance_en_nominale*Simulation!N169+Puissance_en_economie*Simulation!O169</f>
        <v>442.30534033541915</v>
      </c>
      <c r="Q169" s="101">
        <f t="shared" si="25"/>
        <v>597.0250000955241</v>
      </c>
      <c r="R169" s="128">
        <f t="shared" si="26"/>
        <v>0.25915105688262596</v>
      </c>
    </row>
    <row r="170" spans="1:18" ht="12.75">
      <c r="A170" t="s">
        <v>331</v>
      </c>
      <c r="B170" s="116">
        <v>0.8236111111111111</v>
      </c>
      <c r="C170" s="116">
        <v>0.9791666666666666</v>
      </c>
      <c r="D170" s="116">
        <v>0.1875</v>
      </c>
      <c r="E170" s="116">
        <v>0.32083333333333336</v>
      </c>
      <c r="F170" t="s">
        <v>157</v>
      </c>
      <c r="H170" s="59">
        <f t="shared" si="19"/>
        <v>0.02083333333333337</v>
      </c>
      <c r="I170" s="234">
        <f t="shared" si="20"/>
        <v>0.15555555555555556</v>
      </c>
      <c r="J170" s="234">
        <f t="shared" si="21"/>
        <v>-0.13333333333333336</v>
      </c>
      <c r="K170" s="121">
        <f t="shared" si="22"/>
        <v>0.2888888888888889</v>
      </c>
      <c r="L170" s="233">
        <f t="shared" si="23"/>
        <v>0.20833333333333337</v>
      </c>
      <c r="M170" s="121">
        <f t="shared" si="18"/>
        <v>0.4972222222222223</v>
      </c>
      <c r="N170" s="59">
        <f t="shared" si="24"/>
        <v>6.9333333344426675</v>
      </c>
      <c r="O170" s="59">
        <f t="shared" si="24"/>
        <v>5.000000000800001</v>
      </c>
      <c r="P170" s="101">
        <f>Puissance_en_nominale*Simulation!N170+Puissance_en_economie*Simulation!O170</f>
        <v>443.0014367438482</v>
      </c>
      <c r="Q170" s="101">
        <f t="shared" si="25"/>
        <v>597.8600000956578</v>
      </c>
      <c r="R170" s="128">
        <f t="shared" si="26"/>
        <v>0.25902144871212684</v>
      </c>
    </row>
    <row r="171" spans="1:18" ht="12.75">
      <c r="A171" t="s">
        <v>332</v>
      </c>
      <c r="B171" s="116">
        <v>0.8236111111111111</v>
      </c>
      <c r="C171" s="116">
        <v>0.9791666666666666</v>
      </c>
      <c r="D171" s="116">
        <v>0.1875</v>
      </c>
      <c r="E171" s="116">
        <v>0.32083333333333336</v>
      </c>
      <c r="F171" t="s">
        <v>157</v>
      </c>
      <c r="H171" s="59">
        <f t="shared" si="19"/>
        <v>0.02083333333333337</v>
      </c>
      <c r="I171" s="234">
        <f t="shared" si="20"/>
        <v>0.15555555555555556</v>
      </c>
      <c r="J171" s="234">
        <f t="shared" si="21"/>
        <v>-0.13333333333333336</v>
      </c>
      <c r="K171" s="121">
        <f t="shared" si="22"/>
        <v>0.2888888888888889</v>
      </c>
      <c r="L171" s="233">
        <f t="shared" si="23"/>
        <v>0.20833333333333337</v>
      </c>
      <c r="M171" s="121">
        <f t="shared" si="18"/>
        <v>0.4972222222222223</v>
      </c>
      <c r="N171" s="59">
        <f t="shared" si="24"/>
        <v>6.9333333344426675</v>
      </c>
      <c r="O171" s="59">
        <f t="shared" si="24"/>
        <v>5.000000000800001</v>
      </c>
      <c r="P171" s="101">
        <f>Puissance_en_nominale*Simulation!N171+Puissance_en_economie*Simulation!O171</f>
        <v>443.0014367438482</v>
      </c>
      <c r="Q171" s="101">
        <f t="shared" si="25"/>
        <v>597.8600000956578</v>
      </c>
      <c r="R171" s="128">
        <f t="shared" si="26"/>
        <v>0.25902144871212684</v>
      </c>
    </row>
    <row r="172" spans="1:18" ht="12.75">
      <c r="A172" t="s">
        <v>333</v>
      </c>
      <c r="B172" s="116">
        <v>0.8236111111111111</v>
      </c>
      <c r="C172" s="116">
        <v>0.9791666666666666</v>
      </c>
      <c r="D172" s="116">
        <v>0.1875</v>
      </c>
      <c r="E172" s="116">
        <v>0.33819444444444446</v>
      </c>
      <c r="F172" t="s">
        <v>157</v>
      </c>
      <c r="H172" s="59">
        <f t="shared" si="19"/>
        <v>0.02083333333333337</v>
      </c>
      <c r="I172" s="234">
        <f t="shared" si="20"/>
        <v>0.15555555555555556</v>
      </c>
      <c r="J172" s="234">
        <f t="shared" si="21"/>
        <v>-0.15069444444444446</v>
      </c>
      <c r="K172" s="121">
        <f t="shared" si="22"/>
        <v>0.30625</v>
      </c>
      <c r="L172" s="233">
        <f t="shared" si="23"/>
        <v>0.20833333333333337</v>
      </c>
      <c r="M172" s="121">
        <f t="shared" si="18"/>
        <v>0.5145833333333334</v>
      </c>
      <c r="N172" s="59">
        <f t="shared" si="24"/>
        <v>7.350000001176001</v>
      </c>
      <c r="O172" s="59">
        <f t="shared" si="24"/>
        <v>5.000000000800001</v>
      </c>
      <c r="P172" s="101">
        <f>Puissance_en_nominale*Simulation!N172+Puissance_en_economie*Simulation!O172</f>
        <v>460.40384695457215</v>
      </c>
      <c r="Q172" s="101">
        <f t="shared" si="25"/>
        <v>618.7350000989978</v>
      </c>
      <c r="R172" s="128">
        <f t="shared" si="26"/>
        <v>0.25589493582728084</v>
      </c>
    </row>
    <row r="173" spans="1:18" ht="12.75">
      <c r="A173" t="s">
        <v>334</v>
      </c>
      <c r="B173" s="116">
        <v>0.8027777777777777</v>
      </c>
      <c r="C173" s="116">
        <v>0.9583333333333334</v>
      </c>
      <c r="D173" s="116">
        <v>0.20833333333333334</v>
      </c>
      <c r="E173" s="116">
        <v>0.2965277777777778</v>
      </c>
      <c r="F173" t="s">
        <v>180</v>
      </c>
      <c r="H173" s="59">
        <f t="shared" si="19"/>
        <v>0.04166666666666663</v>
      </c>
      <c r="I173" s="234">
        <f t="shared" si="20"/>
        <v>0.15555555555555567</v>
      </c>
      <c r="J173" s="234">
        <f t="shared" si="21"/>
        <v>-0.08819444444444444</v>
      </c>
      <c r="K173" s="121">
        <f t="shared" si="22"/>
        <v>0.2437500000000001</v>
      </c>
      <c r="L173" s="233">
        <f t="shared" si="23"/>
        <v>0.24999999999999997</v>
      </c>
      <c r="M173" s="121">
        <f t="shared" si="18"/>
        <v>0.4937500000000001</v>
      </c>
      <c r="N173" s="59">
        <f t="shared" si="24"/>
        <v>5.850000000936003</v>
      </c>
      <c r="O173" s="59">
        <f t="shared" si="24"/>
        <v>6.00000000096</v>
      </c>
      <c r="P173" s="101">
        <f>Puissance_en_nominale*Simulation!N173+Puissance_en_economie*Simulation!O173</f>
        <v>428.4402363634466</v>
      </c>
      <c r="Q173" s="101">
        <f t="shared" si="25"/>
        <v>593.6850000949898</v>
      </c>
      <c r="R173" s="128">
        <f t="shared" si="26"/>
        <v>0.2783374410758298</v>
      </c>
    </row>
    <row r="174" spans="1:18" ht="12.75">
      <c r="A174" t="s">
        <v>335</v>
      </c>
      <c r="B174" s="116">
        <v>0.7611111111111111</v>
      </c>
      <c r="C174" s="116">
        <v>0.9583333333333334</v>
      </c>
      <c r="D174" s="116">
        <v>0.20833333333333334</v>
      </c>
      <c r="E174" s="116">
        <v>0.2791666666666667</v>
      </c>
      <c r="F174" t="s">
        <v>180</v>
      </c>
      <c r="H174" s="59">
        <f t="shared" si="19"/>
        <v>0.04166666666666663</v>
      </c>
      <c r="I174" s="234">
        <f t="shared" si="20"/>
        <v>0.1972222222222223</v>
      </c>
      <c r="J174" s="234">
        <f t="shared" si="21"/>
        <v>-0.07083333333333333</v>
      </c>
      <c r="K174" s="121">
        <f t="shared" si="22"/>
        <v>0.2680555555555556</v>
      </c>
      <c r="L174" s="233">
        <f t="shared" si="23"/>
        <v>0.24999999999999997</v>
      </c>
      <c r="M174" s="121">
        <f t="shared" si="18"/>
        <v>0.5180555555555556</v>
      </c>
      <c r="N174" s="59">
        <f t="shared" si="24"/>
        <v>6.433333334362668</v>
      </c>
      <c r="O174" s="59">
        <f t="shared" si="24"/>
        <v>6.00000000096</v>
      </c>
      <c r="P174" s="101">
        <f>Puissance_en_nominale*Simulation!N174+Puissance_en_economie*Simulation!O174</f>
        <v>452.80361065846</v>
      </c>
      <c r="Q174" s="101">
        <f t="shared" si="25"/>
        <v>622.9100000996658</v>
      </c>
      <c r="R174" s="128">
        <f t="shared" si="26"/>
        <v>0.2730834139987939</v>
      </c>
    </row>
    <row r="175" spans="1:18" ht="12.75">
      <c r="A175" t="s">
        <v>336</v>
      </c>
      <c r="B175" s="116">
        <v>0.7819444444444444</v>
      </c>
      <c r="C175" s="116">
        <v>0.9791666666666666</v>
      </c>
      <c r="D175" s="116">
        <v>0.1875</v>
      </c>
      <c r="E175" s="116">
        <v>0.2791666666666667</v>
      </c>
      <c r="F175" t="s">
        <v>157</v>
      </c>
      <c r="H175" s="59">
        <f t="shared" si="19"/>
        <v>0.02083333333333337</v>
      </c>
      <c r="I175" s="234">
        <f t="shared" si="20"/>
        <v>0.1972222222222222</v>
      </c>
      <c r="J175" s="234">
        <f t="shared" si="21"/>
        <v>-0.09166666666666667</v>
      </c>
      <c r="K175" s="121">
        <f t="shared" si="22"/>
        <v>0.28888888888888886</v>
      </c>
      <c r="L175" s="233">
        <f t="shared" si="23"/>
        <v>0.20833333333333337</v>
      </c>
      <c r="M175" s="121">
        <f t="shared" si="18"/>
        <v>0.49722222222222223</v>
      </c>
      <c r="N175" s="59">
        <f t="shared" si="24"/>
        <v>6.933333334442667</v>
      </c>
      <c r="O175" s="59">
        <f t="shared" si="24"/>
        <v>5.000000000800001</v>
      </c>
      <c r="P175" s="101">
        <f>Puissance_en_nominale*Simulation!N175+Puissance_en_economie*Simulation!O175</f>
        <v>443.0014367438481</v>
      </c>
      <c r="Q175" s="101">
        <f t="shared" si="25"/>
        <v>597.8600000956578</v>
      </c>
      <c r="R175" s="128">
        <f t="shared" si="26"/>
        <v>0.25902144871212707</v>
      </c>
    </row>
    <row r="176" spans="1:18" ht="12.75">
      <c r="A176" t="s">
        <v>337</v>
      </c>
      <c r="B176" s="116">
        <v>0.7819444444444444</v>
      </c>
      <c r="C176" s="116">
        <v>0.9791666666666666</v>
      </c>
      <c r="D176" s="116">
        <v>0.1875</v>
      </c>
      <c r="E176" s="116">
        <v>0.2791666666666667</v>
      </c>
      <c r="F176" t="s">
        <v>157</v>
      </c>
      <c r="H176" s="59">
        <f t="shared" si="19"/>
        <v>0.02083333333333337</v>
      </c>
      <c r="I176" s="234">
        <f t="shared" si="20"/>
        <v>0.1972222222222222</v>
      </c>
      <c r="J176" s="234">
        <f t="shared" si="21"/>
        <v>-0.09166666666666667</v>
      </c>
      <c r="K176" s="121">
        <f t="shared" si="22"/>
        <v>0.28888888888888886</v>
      </c>
      <c r="L176" s="233">
        <f t="shared" si="23"/>
        <v>0.20833333333333337</v>
      </c>
      <c r="M176" s="121">
        <f t="shared" si="18"/>
        <v>0.49722222222222223</v>
      </c>
      <c r="N176" s="59">
        <f t="shared" si="24"/>
        <v>6.933333334442667</v>
      </c>
      <c r="O176" s="59">
        <f t="shared" si="24"/>
        <v>5.000000000800001</v>
      </c>
      <c r="P176" s="101">
        <f>Puissance_en_nominale*Simulation!N176+Puissance_en_economie*Simulation!O176</f>
        <v>443.0014367438481</v>
      </c>
      <c r="Q176" s="101">
        <f t="shared" si="25"/>
        <v>597.8600000956578</v>
      </c>
      <c r="R176" s="128">
        <f t="shared" si="26"/>
        <v>0.25902144871212707</v>
      </c>
    </row>
    <row r="177" spans="1:18" ht="12.75">
      <c r="A177" t="s">
        <v>338</v>
      </c>
      <c r="B177" s="116">
        <v>0.7819444444444444</v>
      </c>
      <c r="C177" s="116">
        <v>0.9791666666666666</v>
      </c>
      <c r="D177" s="116">
        <v>0.1875</v>
      </c>
      <c r="E177" s="116">
        <v>0.2791666666666667</v>
      </c>
      <c r="F177" t="s">
        <v>157</v>
      </c>
      <c r="H177" s="59">
        <f t="shared" si="19"/>
        <v>0.02083333333333337</v>
      </c>
      <c r="I177" s="234">
        <f t="shared" si="20"/>
        <v>0.1972222222222222</v>
      </c>
      <c r="J177" s="234">
        <f t="shared" si="21"/>
        <v>-0.09166666666666667</v>
      </c>
      <c r="K177" s="121">
        <f t="shared" si="22"/>
        <v>0.28888888888888886</v>
      </c>
      <c r="L177" s="233">
        <f t="shared" si="23"/>
        <v>0.20833333333333337</v>
      </c>
      <c r="M177" s="121">
        <f t="shared" si="18"/>
        <v>0.49722222222222223</v>
      </c>
      <c r="N177" s="59">
        <f t="shared" si="24"/>
        <v>6.933333334442667</v>
      </c>
      <c r="O177" s="59">
        <f t="shared" si="24"/>
        <v>5.000000000800001</v>
      </c>
      <c r="P177" s="101">
        <f>Puissance_en_nominale*Simulation!N177+Puissance_en_economie*Simulation!O177</f>
        <v>443.0014367438481</v>
      </c>
      <c r="Q177" s="101">
        <f t="shared" si="25"/>
        <v>597.8600000956578</v>
      </c>
      <c r="R177" s="128">
        <f t="shared" si="26"/>
        <v>0.25902144871212707</v>
      </c>
    </row>
    <row r="178" spans="1:18" ht="12.75">
      <c r="A178" t="s">
        <v>339</v>
      </c>
      <c r="B178" s="116">
        <v>0.7819444444444444</v>
      </c>
      <c r="C178" s="116">
        <v>0.9791666666666666</v>
      </c>
      <c r="D178" s="116">
        <v>0.1875</v>
      </c>
      <c r="E178" s="116">
        <v>0.2791666666666667</v>
      </c>
      <c r="F178" t="s">
        <v>157</v>
      </c>
      <c r="H178" s="59">
        <f t="shared" si="19"/>
        <v>0.02083333333333337</v>
      </c>
      <c r="I178" s="234">
        <f t="shared" si="20"/>
        <v>0.1972222222222222</v>
      </c>
      <c r="J178" s="234">
        <f t="shared" si="21"/>
        <v>-0.09166666666666667</v>
      </c>
      <c r="K178" s="121">
        <f t="shared" si="22"/>
        <v>0.28888888888888886</v>
      </c>
      <c r="L178" s="233">
        <f t="shared" si="23"/>
        <v>0.20833333333333337</v>
      </c>
      <c r="M178" s="121">
        <f t="shared" si="18"/>
        <v>0.49722222222222223</v>
      </c>
      <c r="N178" s="59">
        <f t="shared" si="24"/>
        <v>6.933333334442667</v>
      </c>
      <c r="O178" s="59">
        <f t="shared" si="24"/>
        <v>5.000000000800001</v>
      </c>
      <c r="P178" s="101">
        <f>Puissance_en_nominale*Simulation!N178+Puissance_en_economie*Simulation!O178</f>
        <v>443.0014367438481</v>
      </c>
      <c r="Q178" s="101">
        <f t="shared" si="25"/>
        <v>597.8600000956578</v>
      </c>
      <c r="R178" s="128">
        <f t="shared" si="26"/>
        <v>0.25902144871212707</v>
      </c>
    </row>
    <row r="179" spans="1:18" ht="12.75">
      <c r="A179" t="s">
        <v>340</v>
      </c>
      <c r="B179" s="116">
        <v>0.7819444444444444</v>
      </c>
      <c r="C179" s="116">
        <v>0.9791666666666666</v>
      </c>
      <c r="D179" s="116">
        <v>0.1875</v>
      </c>
      <c r="E179" s="116">
        <v>0.2965277777777778</v>
      </c>
      <c r="F179" t="s">
        <v>157</v>
      </c>
      <c r="H179" s="59">
        <f t="shared" si="19"/>
        <v>0.02083333333333337</v>
      </c>
      <c r="I179" s="234">
        <f t="shared" si="20"/>
        <v>0.1972222222222222</v>
      </c>
      <c r="J179" s="234">
        <f t="shared" si="21"/>
        <v>-0.10902777777777778</v>
      </c>
      <c r="K179" s="121">
        <f t="shared" si="22"/>
        <v>0.30624999999999997</v>
      </c>
      <c r="L179" s="233">
        <f t="shared" si="23"/>
        <v>0.20833333333333337</v>
      </c>
      <c r="M179" s="121">
        <f t="shared" si="18"/>
        <v>0.5145833333333334</v>
      </c>
      <c r="N179" s="59">
        <f t="shared" si="24"/>
        <v>7.350000001175999</v>
      </c>
      <c r="O179" s="59">
        <f t="shared" si="24"/>
        <v>5.000000000800001</v>
      </c>
      <c r="P179" s="101">
        <f>Puissance_en_nominale*Simulation!N179+Puissance_en_economie*Simulation!O179</f>
        <v>460.40384695457203</v>
      </c>
      <c r="Q179" s="101">
        <f t="shared" si="25"/>
        <v>618.7350000989977</v>
      </c>
      <c r="R179" s="128">
        <f t="shared" si="26"/>
        <v>0.25589493582728096</v>
      </c>
    </row>
    <row r="180" spans="1:18" ht="12.75">
      <c r="A180" t="s">
        <v>341</v>
      </c>
      <c r="B180" s="116">
        <v>0.7611111111111111</v>
      </c>
      <c r="C180" s="116">
        <v>0.9583333333333334</v>
      </c>
      <c r="D180" s="116">
        <v>0.20833333333333334</v>
      </c>
      <c r="E180" s="116">
        <v>0.2965277777777778</v>
      </c>
      <c r="F180" t="s">
        <v>180</v>
      </c>
      <c r="H180" s="59">
        <f t="shared" si="19"/>
        <v>0.04166666666666663</v>
      </c>
      <c r="I180" s="234">
        <f t="shared" si="20"/>
        <v>0.1972222222222223</v>
      </c>
      <c r="J180" s="234">
        <f t="shared" si="21"/>
        <v>-0.08819444444444444</v>
      </c>
      <c r="K180" s="121">
        <f t="shared" si="22"/>
        <v>0.28541666666666676</v>
      </c>
      <c r="L180" s="233">
        <f t="shared" si="23"/>
        <v>0.24999999999999997</v>
      </c>
      <c r="M180" s="121">
        <f t="shared" si="18"/>
        <v>0.5354166666666668</v>
      </c>
      <c r="N180" s="59">
        <f t="shared" si="24"/>
        <v>6.850000001096003</v>
      </c>
      <c r="O180" s="59">
        <f t="shared" si="24"/>
        <v>6.00000000096</v>
      </c>
      <c r="P180" s="101">
        <f>Puissance_en_nominale*Simulation!N180+Puissance_en_economie*Simulation!O180</f>
        <v>470.206020869184</v>
      </c>
      <c r="Q180" s="101">
        <f t="shared" si="25"/>
        <v>643.7850001030058</v>
      </c>
      <c r="R180" s="128">
        <f t="shared" si="26"/>
        <v>0.2696225901598346</v>
      </c>
    </row>
    <row r="181" spans="1:18" ht="12.75">
      <c r="A181" t="s">
        <v>342</v>
      </c>
      <c r="B181" s="116">
        <v>0.7611111111111111</v>
      </c>
      <c r="C181" s="116">
        <v>0.9583333333333334</v>
      </c>
      <c r="D181" s="116">
        <v>0.20833333333333334</v>
      </c>
      <c r="E181" s="116">
        <v>0.2791666666666667</v>
      </c>
      <c r="F181" t="s">
        <v>180</v>
      </c>
      <c r="H181" s="59">
        <f t="shared" si="19"/>
        <v>0.04166666666666663</v>
      </c>
      <c r="I181" s="234">
        <f t="shared" si="20"/>
        <v>0.1972222222222223</v>
      </c>
      <c r="J181" s="234">
        <f t="shared" si="21"/>
        <v>-0.07083333333333333</v>
      </c>
      <c r="K181" s="121">
        <f t="shared" si="22"/>
        <v>0.2680555555555556</v>
      </c>
      <c r="L181" s="233">
        <f t="shared" si="23"/>
        <v>0.24999999999999997</v>
      </c>
      <c r="M181" s="121">
        <f t="shared" si="18"/>
        <v>0.5180555555555556</v>
      </c>
      <c r="N181" s="59">
        <f t="shared" si="24"/>
        <v>6.433333334362668</v>
      </c>
      <c r="O181" s="59">
        <f t="shared" si="24"/>
        <v>6.00000000096</v>
      </c>
      <c r="P181" s="101">
        <f>Puissance_en_nominale*Simulation!N181+Puissance_en_economie*Simulation!O181</f>
        <v>452.80361065846</v>
      </c>
      <c r="Q181" s="101">
        <f t="shared" si="25"/>
        <v>622.9100000996658</v>
      </c>
      <c r="R181" s="128">
        <f t="shared" si="26"/>
        <v>0.2730834139987939</v>
      </c>
    </row>
    <row r="182" spans="1:18" ht="12.75">
      <c r="A182" t="s">
        <v>343</v>
      </c>
      <c r="B182" s="116">
        <v>0.7819444444444444</v>
      </c>
      <c r="C182" s="116">
        <v>0.9791666666666666</v>
      </c>
      <c r="D182" s="116">
        <v>0.1875</v>
      </c>
      <c r="E182" s="116">
        <v>0.2791666666666667</v>
      </c>
      <c r="F182" t="s">
        <v>157</v>
      </c>
      <c r="H182" s="59">
        <f t="shared" si="19"/>
        <v>0.02083333333333337</v>
      </c>
      <c r="I182" s="234">
        <f t="shared" si="20"/>
        <v>0.1972222222222222</v>
      </c>
      <c r="J182" s="234">
        <f t="shared" si="21"/>
        <v>-0.09166666666666667</v>
      </c>
      <c r="K182" s="121">
        <f t="shared" si="22"/>
        <v>0.28888888888888886</v>
      </c>
      <c r="L182" s="233">
        <f t="shared" si="23"/>
        <v>0.20833333333333337</v>
      </c>
      <c r="M182" s="121">
        <f t="shared" si="18"/>
        <v>0.49722222222222223</v>
      </c>
      <c r="N182" s="59">
        <f t="shared" si="24"/>
        <v>6.933333334442667</v>
      </c>
      <c r="O182" s="59">
        <f t="shared" si="24"/>
        <v>5.000000000800001</v>
      </c>
      <c r="P182" s="101">
        <f>Puissance_en_nominale*Simulation!N182+Puissance_en_economie*Simulation!O182</f>
        <v>443.0014367438481</v>
      </c>
      <c r="Q182" s="101">
        <f t="shared" si="25"/>
        <v>597.8600000956578</v>
      </c>
      <c r="R182" s="128">
        <f t="shared" si="26"/>
        <v>0.25902144871212707</v>
      </c>
    </row>
    <row r="183" spans="1:18" ht="12.75">
      <c r="A183" t="s">
        <v>344</v>
      </c>
      <c r="B183" s="116">
        <v>0.7819444444444444</v>
      </c>
      <c r="C183" s="116">
        <v>0.9791666666666666</v>
      </c>
      <c r="D183" s="116">
        <v>0.1875</v>
      </c>
      <c r="E183" s="116">
        <v>0.2791666666666667</v>
      </c>
      <c r="F183" t="s">
        <v>157</v>
      </c>
      <c r="H183" s="59">
        <f t="shared" si="19"/>
        <v>0.02083333333333337</v>
      </c>
      <c r="I183" s="234">
        <f t="shared" si="20"/>
        <v>0.1972222222222222</v>
      </c>
      <c r="J183" s="234">
        <f t="shared" si="21"/>
        <v>-0.09166666666666667</v>
      </c>
      <c r="K183" s="121">
        <f t="shared" si="22"/>
        <v>0.28888888888888886</v>
      </c>
      <c r="L183" s="233">
        <f t="shared" si="23"/>
        <v>0.20833333333333337</v>
      </c>
      <c r="M183" s="121">
        <f t="shared" si="18"/>
        <v>0.49722222222222223</v>
      </c>
      <c r="N183" s="59">
        <f t="shared" si="24"/>
        <v>6.933333334442667</v>
      </c>
      <c r="O183" s="59">
        <f t="shared" si="24"/>
        <v>5.000000000800001</v>
      </c>
      <c r="P183" s="101">
        <f>Puissance_en_nominale*Simulation!N183+Puissance_en_economie*Simulation!O183</f>
        <v>443.0014367438481</v>
      </c>
      <c r="Q183" s="101">
        <f t="shared" si="25"/>
        <v>597.8600000956578</v>
      </c>
      <c r="R183" s="128">
        <f t="shared" si="26"/>
        <v>0.25902144871212707</v>
      </c>
    </row>
    <row r="184" spans="1:18" ht="12.75">
      <c r="A184" t="s">
        <v>345</v>
      </c>
      <c r="B184" s="116">
        <v>0.7819444444444444</v>
      </c>
      <c r="C184" s="116">
        <v>0.9791666666666666</v>
      </c>
      <c r="D184" s="116">
        <v>0.1875</v>
      </c>
      <c r="E184" s="116">
        <v>0.2791666666666667</v>
      </c>
      <c r="F184" t="s">
        <v>157</v>
      </c>
      <c r="H184" s="59">
        <f t="shared" si="19"/>
        <v>0.02083333333333337</v>
      </c>
      <c r="I184" s="234">
        <f t="shared" si="20"/>
        <v>0.1972222222222222</v>
      </c>
      <c r="J184" s="234">
        <f t="shared" si="21"/>
        <v>-0.09166666666666667</v>
      </c>
      <c r="K184" s="121">
        <f t="shared" si="22"/>
        <v>0.28888888888888886</v>
      </c>
      <c r="L184" s="233">
        <f t="shared" si="23"/>
        <v>0.20833333333333337</v>
      </c>
      <c r="M184" s="121">
        <f t="shared" si="18"/>
        <v>0.49722222222222223</v>
      </c>
      <c r="N184" s="59">
        <f t="shared" si="24"/>
        <v>6.933333334442667</v>
      </c>
      <c r="O184" s="59">
        <f t="shared" si="24"/>
        <v>5.000000000800001</v>
      </c>
      <c r="P184" s="101">
        <f>Puissance_en_nominale*Simulation!N184+Puissance_en_economie*Simulation!O184</f>
        <v>443.0014367438481</v>
      </c>
      <c r="Q184" s="101">
        <f t="shared" si="25"/>
        <v>597.8600000956578</v>
      </c>
      <c r="R184" s="128">
        <f t="shared" si="26"/>
        <v>0.25902144871212707</v>
      </c>
    </row>
    <row r="185" spans="1:18" ht="12.75">
      <c r="A185" t="s">
        <v>346</v>
      </c>
      <c r="B185" s="116">
        <v>0.7819444444444444</v>
      </c>
      <c r="C185" s="116">
        <v>0.9791666666666666</v>
      </c>
      <c r="D185" s="116">
        <v>0.1875</v>
      </c>
      <c r="E185" s="116">
        <v>0.2791666666666667</v>
      </c>
      <c r="F185" t="s">
        <v>157</v>
      </c>
      <c r="H185" s="59">
        <f t="shared" si="19"/>
        <v>0.02083333333333337</v>
      </c>
      <c r="I185" s="234">
        <f t="shared" si="20"/>
        <v>0.1972222222222222</v>
      </c>
      <c r="J185" s="234">
        <f t="shared" si="21"/>
        <v>-0.09166666666666667</v>
      </c>
      <c r="K185" s="121">
        <f t="shared" si="22"/>
        <v>0.28888888888888886</v>
      </c>
      <c r="L185" s="233">
        <f t="shared" si="23"/>
        <v>0.20833333333333337</v>
      </c>
      <c r="M185" s="121">
        <f t="shared" si="18"/>
        <v>0.49722222222222223</v>
      </c>
      <c r="N185" s="59">
        <f t="shared" si="24"/>
        <v>6.933333334442667</v>
      </c>
      <c r="O185" s="59">
        <f t="shared" si="24"/>
        <v>5.000000000800001</v>
      </c>
      <c r="P185" s="101">
        <f>Puissance_en_nominale*Simulation!N185+Puissance_en_economie*Simulation!O185</f>
        <v>443.0014367438481</v>
      </c>
      <c r="Q185" s="101">
        <f t="shared" si="25"/>
        <v>597.8600000956578</v>
      </c>
      <c r="R185" s="128">
        <f t="shared" si="26"/>
        <v>0.25902144871212707</v>
      </c>
    </row>
    <row r="186" spans="1:18" ht="12.75">
      <c r="A186" t="s">
        <v>347</v>
      </c>
      <c r="B186" s="116">
        <v>0.7819444444444444</v>
      </c>
      <c r="C186" s="116">
        <v>0.9791666666666666</v>
      </c>
      <c r="D186" s="116">
        <v>0.1875</v>
      </c>
      <c r="E186" s="116">
        <v>0.2965277777777778</v>
      </c>
      <c r="F186" t="s">
        <v>157</v>
      </c>
      <c r="H186" s="59">
        <f t="shared" si="19"/>
        <v>0.02083333333333337</v>
      </c>
      <c r="I186" s="234">
        <f t="shared" si="20"/>
        <v>0.1972222222222222</v>
      </c>
      <c r="J186" s="234">
        <f t="shared" si="21"/>
        <v>-0.10902777777777778</v>
      </c>
      <c r="K186" s="121">
        <f t="shared" si="22"/>
        <v>0.30624999999999997</v>
      </c>
      <c r="L186" s="233">
        <f t="shared" si="23"/>
        <v>0.20833333333333337</v>
      </c>
      <c r="M186" s="121">
        <f t="shared" si="18"/>
        <v>0.5145833333333334</v>
      </c>
      <c r="N186" s="59">
        <f t="shared" si="24"/>
        <v>7.350000001175999</v>
      </c>
      <c r="O186" s="59">
        <f t="shared" si="24"/>
        <v>5.000000000800001</v>
      </c>
      <c r="P186" s="101">
        <f>Puissance_en_nominale*Simulation!N186+Puissance_en_economie*Simulation!O186</f>
        <v>460.40384695457203</v>
      </c>
      <c r="Q186" s="101">
        <f t="shared" si="25"/>
        <v>618.7350000989977</v>
      </c>
      <c r="R186" s="128">
        <f t="shared" si="26"/>
        <v>0.25589493582728096</v>
      </c>
    </row>
    <row r="187" spans="1:18" ht="12.75">
      <c r="A187" t="s">
        <v>348</v>
      </c>
      <c r="B187" s="116">
        <v>0.7611111111111111</v>
      </c>
      <c r="C187" s="116">
        <v>0.9583333333333334</v>
      </c>
      <c r="D187" s="116">
        <v>0.20833333333333334</v>
      </c>
      <c r="E187" s="116">
        <v>0.2965277777777778</v>
      </c>
      <c r="F187" t="s">
        <v>180</v>
      </c>
      <c r="H187" s="59">
        <f t="shared" si="19"/>
        <v>0.04166666666666663</v>
      </c>
      <c r="I187" s="234">
        <f t="shared" si="20"/>
        <v>0.1972222222222223</v>
      </c>
      <c r="J187" s="234">
        <f t="shared" si="21"/>
        <v>-0.08819444444444444</v>
      </c>
      <c r="K187" s="121">
        <f t="shared" si="22"/>
        <v>0.28541666666666676</v>
      </c>
      <c r="L187" s="233">
        <f t="shared" si="23"/>
        <v>0.24999999999999997</v>
      </c>
      <c r="M187" s="121">
        <f t="shared" si="18"/>
        <v>0.5354166666666668</v>
      </c>
      <c r="N187" s="59">
        <f t="shared" si="24"/>
        <v>6.850000001096003</v>
      </c>
      <c r="O187" s="59">
        <f t="shared" si="24"/>
        <v>6.00000000096</v>
      </c>
      <c r="P187" s="101">
        <f>Puissance_en_nominale*Simulation!N187+Puissance_en_economie*Simulation!O187</f>
        <v>470.206020869184</v>
      </c>
      <c r="Q187" s="101">
        <f t="shared" si="25"/>
        <v>643.7850001030058</v>
      </c>
      <c r="R187" s="128">
        <f t="shared" si="26"/>
        <v>0.2696225901598346</v>
      </c>
    </row>
    <row r="188" spans="1:18" ht="12.75">
      <c r="A188" t="s">
        <v>349</v>
      </c>
      <c r="B188" s="116">
        <v>0.7611111111111111</v>
      </c>
      <c r="C188" s="116">
        <v>0.9583333333333334</v>
      </c>
      <c r="D188" s="116">
        <v>0.20833333333333334</v>
      </c>
      <c r="E188" s="116">
        <v>0.2791666666666667</v>
      </c>
      <c r="F188" t="s">
        <v>180</v>
      </c>
      <c r="H188" s="59">
        <f t="shared" si="19"/>
        <v>0.04166666666666663</v>
      </c>
      <c r="I188" s="234">
        <f t="shared" si="20"/>
        <v>0.1972222222222223</v>
      </c>
      <c r="J188" s="234">
        <f t="shared" si="21"/>
        <v>-0.07083333333333333</v>
      </c>
      <c r="K188" s="121">
        <f t="shared" si="22"/>
        <v>0.2680555555555556</v>
      </c>
      <c r="L188" s="233">
        <f t="shared" si="23"/>
        <v>0.24999999999999997</v>
      </c>
      <c r="M188" s="121">
        <f t="shared" si="18"/>
        <v>0.5180555555555556</v>
      </c>
      <c r="N188" s="59">
        <f t="shared" si="24"/>
        <v>6.433333334362668</v>
      </c>
      <c r="O188" s="59">
        <f t="shared" si="24"/>
        <v>6.00000000096</v>
      </c>
      <c r="P188" s="101">
        <f>Puissance_en_nominale*Simulation!N188+Puissance_en_economie*Simulation!O188</f>
        <v>452.80361065846</v>
      </c>
      <c r="Q188" s="101">
        <f t="shared" si="25"/>
        <v>622.9100000996658</v>
      </c>
      <c r="R188" s="128">
        <f t="shared" si="26"/>
        <v>0.2730834139987939</v>
      </c>
    </row>
    <row r="189" spans="1:18" ht="12.75">
      <c r="A189" t="s">
        <v>350</v>
      </c>
      <c r="B189" s="116">
        <v>0.7819444444444444</v>
      </c>
      <c r="C189" s="116">
        <v>0.9791666666666666</v>
      </c>
      <c r="D189" s="116">
        <v>0.1875</v>
      </c>
      <c r="E189" s="116">
        <v>0.2791666666666667</v>
      </c>
      <c r="F189" t="s">
        <v>157</v>
      </c>
      <c r="H189" s="59">
        <f t="shared" si="19"/>
        <v>0.02083333333333337</v>
      </c>
      <c r="I189" s="234">
        <f t="shared" si="20"/>
        <v>0.1972222222222222</v>
      </c>
      <c r="J189" s="234">
        <f t="shared" si="21"/>
        <v>-0.09166666666666667</v>
      </c>
      <c r="K189" s="121">
        <f t="shared" si="22"/>
        <v>0.28888888888888886</v>
      </c>
      <c r="L189" s="233">
        <f t="shared" si="23"/>
        <v>0.20833333333333337</v>
      </c>
      <c r="M189" s="121">
        <f t="shared" si="18"/>
        <v>0.49722222222222223</v>
      </c>
      <c r="N189" s="59">
        <f t="shared" si="24"/>
        <v>6.933333334442667</v>
      </c>
      <c r="O189" s="59">
        <f t="shared" si="24"/>
        <v>5.000000000800001</v>
      </c>
      <c r="P189" s="101">
        <f>Puissance_en_nominale*Simulation!N189+Puissance_en_economie*Simulation!O189</f>
        <v>443.0014367438481</v>
      </c>
      <c r="Q189" s="101">
        <f t="shared" si="25"/>
        <v>597.8600000956578</v>
      </c>
      <c r="R189" s="128">
        <f t="shared" si="26"/>
        <v>0.25902144871212707</v>
      </c>
    </row>
    <row r="190" spans="1:18" ht="12.75">
      <c r="A190" t="s">
        <v>351</v>
      </c>
      <c r="B190" s="116">
        <v>0.782638888888889</v>
      </c>
      <c r="C190" s="116">
        <v>0.9791666666666666</v>
      </c>
      <c r="D190" s="116">
        <v>0.1875</v>
      </c>
      <c r="E190" s="116">
        <v>0.2791666666666667</v>
      </c>
      <c r="F190" t="s">
        <v>157</v>
      </c>
      <c r="H190" s="59">
        <f t="shared" si="19"/>
        <v>0.02083333333333337</v>
      </c>
      <c r="I190" s="234">
        <f t="shared" si="20"/>
        <v>0.19652777777777763</v>
      </c>
      <c r="J190" s="234">
        <f t="shared" si="21"/>
        <v>-0.09166666666666667</v>
      </c>
      <c r="K190" s="121">
        <f t="shared" si="22"/>
        <v>0.2881944444444443</v>
      </c>
      <c r="L190" s="233">
        <f t="shared" si="23"/>
        <v>0.20833333333333337</v>
      </c>
      <c r="M190" s="121">
        <f t="shared" si="18"/>
        <v>0.4965277777777777</v>
      </c>
      <c r="N190" s="59">
        <f t="shared" si="24"/>
        <v>6.91666666777333</v>
      </c>
      <c r="O190" s="59">
        <f t="shared" si="24"/>
        <v>5.000000000800001</v>
      </c>
      <c r="P190" s="101">
        <f>Puissance_en_nominale*Simulation!N190+Puissance_en_economie*Simulation!O190</f>
        <v>442.30534033541903</v>
      </c>
      <c r="Q190" s="101">
        <f t="shared" si="25"/>
        <v>597.025000095524</v>
      </c>
      <c r="R190" s="128">
        <f t="shared" si="26"/>
        <v>0.2591510568826261</v>
      </c>
    </row>
    <row r="191" spans="1:18" ht="12.75">
      <c r="A191" t="s">
        <v>352</v>
      </c>
      <c r="B191" s="116">
        <v>0.782638888888889</v>
      </c>
      <c r="C191" s="116">
        <v>0.9791666666666666</v>
      </c>
      <c r="D191" s="116">
        <v>0.1875</v>
      </c>
      <c r="E191" s="116">
        <v>0.2791666666666667</v>
      </c>
      <c r="F191" t="s">
        <v>157</v>
      </c>
      <c r="H191" s="59">
        <f t="shared" si="19"/>
        <v>0.02083333333333337</v>
      </c>
      <c r="I191" s="234">
        <f t="shared" si="20"/>
        <v>0.19652777777777763</v>
      </c>
      <c r="J191" s="234">
        <f t="shared" si="21"/>
        <v>-0.09166666666666667</v>
      </c>
      <c r="K191" s="121">
        <f t="shared" si="22"/>
        <v>0.2881944444444443</v>
      </c>
      <c r="L191" s="233">
        <f t="shared" si="23"/>
        <v>0.20833333333333337</v>
      </c>
      <c r="M191" s="121">
        <f t="shared" si="18"/>
        <v>0.4965277777777777</v>
      </c>
      <c r="N191" s="59">
        <f t="shared" si="24"/>
        <v>6.91666666777333</v>
      </c>
      <c r="O191" s="59">
        <f t="shared" si="24"/>
        <v>5.000000000800001</v>
      </c>
      <c r="P191" s="101">
        <f>Puissance_en_nominale*Simulation!N191+Puissance_en_economie*Simulation!O191</f>
        <v>442.30534033541903</v>
      </c>
      <c r="Q191" s="101">
        <f t="shared" si="25"/>
        <v>597.025000095524</v>
      </c>
      <c r="R191" s="128">
        <f t="shared" si="26"/>
        <v>0.2591510568826261</v>
      </c>
    </row>
    <row r="192" spans="1:18" ht="12.75">
      <c r="A192" t="s">
        <v>353</v>
      </c>
      <c r="B192" s="116">
        <v>0.782638888888889</v>
      </c>
      <c r="C192" s="116">
        <v>0.9791666666666666</v>
      </c>
      <c r="D192" s="116">
        <v>0.1875</v>
      </c>
      <c r="E192" s="116">
        <v>0.2798611111111111</v>
      </c>
      <c r="F192" t="s">
        <v>157</v>
      </c>
      <c r="H192" s="59">
        <f t="shared" si="19"/>
        <v>0.02083333333333337</v>
      </c>
      <c r="I192" s="234">
        <f t="shared" si="20"/>
        <v>0.19652777777777763</v>
      </c>
      <c r="J192" s="234">
        <f t="shared" si="21"/>
        <v>-0.09236111111111112</v>
      </c>
      <c r="K192" s="121">
        <f t="shared" si="22"/>
        <v>0.28888888888888875</v>
      </c>
      <c r="L192" s="233">
        <f t="shared" si="23"/>
        <v>0.20833333333333337</v>
      </c>
      <c r="M192" s="121">
        <f t="shared" si="18"/>
        <v>0.4972222222222221</v>
      </c>
      <c r="N192" s="59">
        <f t="shared" si="24"/>
        <v>6.933333334442664</v>
      </c>
      <c r="O192" s="59">
        <f t="shared" si="24"/>
        <v>5.000000000800001</v>
      </c>
      <c r="P192" s="101">
        <f>Puissance_en_nominale*Simulation!N192+Puissance_en_economie*Simulation!O192</f>
        <v>443.001436743848</v>
      </c>
      <c r="Q192" s="101">
        <f t="shared" si="25"/>
        <v>597.8600000956576</v>
      </c>
      <c r="R192" s="128">
        <f t="shared" si="26"/>
        <v>0.25902144871212696</v>
      </c>
    </row>
    <row r="193" spans="1:18" ht="12.75">
      <c r="A193" t="s">
        <v>354</v>
      </c>
      <c r="B193" s="116">
        <v>0.782638888888889</v>
      </c>
      <c r="C193" s="116">
        <v>0.9791666666666666</v>
      </c>
      <c r="D193" s="116">
        <v>0.1875</v>
      </c>
      <c r="E193" s="116">
        <v>0.2972222222222222</v>
      </c>
      <c r="F193" t="s">
        <v>157</v>
      </c>
      <c r="H193" s="59">
        <f t="shared" si="19"/>
        <v>0.02083333333333337</v>
      </c>
      <c r="I193" s="234">
        <f t="shared" si="20"/>
        <v>0.19652777777777763</v>
      </c>
      <c r="J193" s="234">
        <f t="shared" si="21"/>
        <v>-0.10972222222222222</v>
      </c>
      <c r="K193" s="121">
        <f t="shared" si="22"/>
        <v>0.30624999999999986</v>
      </c>
      <c r="L193" s="233">
        <f t="shared" si="23"/>
        <v>0.20833333333333337</v>
      </c>
      <c r="M193" s="121">
        <f t="shared" si="18"/>
        <v>0.5145833333333332</v>
      </c>
      <c r="N193" s="59">
        <f t="shared" si="24"/>
        <v>7.350000001175997</v>
      </c>
      <c r="O193" s="59">
        <f t="shared" si="24"/>
        <v>5.000000000800001</v>
      </c>
      <c r="P193" s="101">
        <f>Puissance_en_nominale*Simulation!N193+Puissance_en_economie*Simulation!O193</f>
        <v>460.4038469545719</v>
      </c>
      <c r="Q193" s="101">
        <f t="shared" si="25"/>
        <v>618.7350000989976</v>
      </c>
      <c r="R193" s="128">
        <f t="shared" si="26"/>
        <v>0.25589493582728096</v>
      </c>
    </row>
    <row r="194" spans="1:18" ht="12.75">
      <c r="A194" t="s">
        <v>355</v>
      </c>
      <c r="B194" s="116">
        <v>0.7618055555555556</v>
      </c>
      <c r="C194" s="116">
        <v>0.9583333333333334</v>
      </c>
      <c r="D194" s="116">
        <v>0.20833333333333334</v>
      </c>
      <c r="E194" s="116">
        <v>0.2972222222222222</v>
      </c>
      <c r="F194" t="s">
        <v>180</v>
      </c>
      <c r="H194" s="59">
        <f t="shared" si="19"/>
        <v>0.04166666666666663</v>
      </c>
      <c r="I194" s="234">
        <f t="shared" si="20"/>
        <v>0.19652777777777775</v>
      </c>
      <c r="J194" s="234">
        <f t="shared" si="21"/>
        <v>-0.08888888888888888</v>
      </c>
      <c r="K194" s="121">
        <f t="shared" si="22"/>
        <v>0.28541666666666665</v>
      </c>
      <c r="L194" s="233">
        <f t="shared" si="23"/>
        <v>0.24999999999999997</v>
      </c>
      <c r="M194" s="121">
        <f t="shared" si="18"/>
        <v>0.5354166666666667</v>
      </c>
      <c r="N194" s="59">
        <f t="shared" si="24"/>
        <v>6.850000001096</v>
      </c>
      <c r="O194" s="59">
        <f t="shared" si="24"/>
        <v>6.00000000096</v>
      </c>
      <c r="P194" s="101">
        <f>Puissance_en_nominale*Simulation!N194+Puissance_en_economie*Simulation!O194</f>
        <v>470.2060208691839</v>
      </c>
      <c r="Q194" s="101">
        <f t="shared" si="25"/>
        <v>643.7850001030057</v>
      </c>
      <c r="R194" s="128">
        <f t="shared" si="26"/>
        <v>0.2696225901598347</v>
      </c>
    </row>
    <row r="195" spans="1:18" ht="12.75">
      <c r="A195" t="s">
        <v>356</v>
      </c>
      <c r="B195" s="116">
        <v>0.7618055555555556</v>
      </c>
      <c r="C195" s="116">
        <v>0.9583333333333334</v>
      </c>
      <c r="D195" s="116">
        <v>0.20833333333333334</v>
      </c>
      <c r="E195" s="116">
        <v>0.2798611111111111</v>
      </c>
      <c r="F195" t="s">
        <v>180</v>
      </c>
      <c r="H195" s="59">
        <f t="shared" si="19"/>
        <v>0.04166666666666663</v>
      </c>
      <c r="I195" s="234">
        <f t="shared" si="20"/>
        <v>0.19652777777777775</v>
      </c>
      <c r="J195" s="234">
        <f t="shared" si="21"/>
        <v>-0.07152777777777777</v>
      </c>
      <c r="K195" s="121">
        <f t="shared" si="22"/>
        <v>0.2680555555555555</v>
      </c>
      <c r="L195" s="233">
        <f t="shared" si="23"/>
        <v>0.24999999999999997</v>
      </c>
      <c r="M195" s="121">
        <f t="shared" si="18"/>
        <v>0.5180555555555555</v>
      </c>
      <c r="N195" s="59">
        <f t="shared" si="24"/>
        <v>6.433333334362666</v>
      </c>
      <c r="O195" s="59">
        <f t="shared" si="24"/>
        <v>6.00000000096</v>
      </c>
      <c r="P195" s="101">
        <f>Puissance_en_nominale*Simulation!N195+Puissance_en_economie*Simulation!O195</f>
        <v>452.8036106584599</v>
      </c>
      <c r="Q195" s="101">
        <f t="shared" si="25"/>
        <v>622.9100000996656</v>
      </c>
      <c r="R195" s="128">
        <f t="shared" si="26"/>
        <v>0.2730834139987939</v>
      </c>
    </row>
    <row r="196" spans="1:18" ht="12.75">
      <c r="A196" t="s">
        <v>357</v>
      </c>
      <c r="B196" s="116">
        <v>0.7833333333333333</v>
      </c>
      <c r="C196" s="116">
        <v>0.9791666666666666</v>
      </c>
      <c r="D196" s="116">
        <v>0.1875</v>
      </c>
      <c r="E196" s="116">
        <v>0.2798611111111111</v>
      </c>
      <c r="F196" t="s">
        <v>157</v>
      </c>
      <c r="H196" s="59">
        <f t="shared" si="19"/>
        <v>0.02083333333333337</v>
      </c>
      <c r="I196" s="234">
        <f t="shared" si="20"/>
        <v>0.1958333333333333</v>
      </c>
      <c r="J196" s="234">
        <f t="shared" si="21"/>
        <v>-0.09236111111111112</v>
      </c>
      <c r="K196" s="121">
        <f t="shared" si="22"/>
        <v>0.2881944444444444</v>
      </c>
      <c r="L196" s="233">
        <f t="shared" si="23"/>
        <v>0.20833333333333337</v>
      </c>
      <c r="M196" s="121">
        <f t="shared" si="18"/>
        <v>0.4965277777777778</v>
      </c>
      <c r="N196" s="59">
        <f t="shared" si="24"/>
        <v>6.916666667773333</v>
      </c>
      <c r="O196" s="59">
        <f t="shared" si="24"/>
        <v>5.000000000800001</v>
      </c>
      <c r="P196" s="101">
        <f>Puissance_en_nominale*Simulation!N196+Puissance_en_economie*Simulation!O196</f>
        <v>442.30534033541915</v>
      </c>
      <c r="Q196" s="101">
        <f t="shared" si="25"/>
        <v>597.0250000955242</v>
      </c>
      <c r="R196" s="128">
        <f t="shared" si="26"/>
        <v>0.2591510568826261</v>
      </c>
    </row>
    <row r="197" spans="1:18" ht="12.75">
      <c r="A197" t="s">
        <v>358</v>
      </c>
      <c r="B197" s="116">
        <v>0.7833333333333333</v>
      </c>
      <c r="C197" s="116">
        <v>0.9791666666666666</v>
      </c>
      <c r="D197" s="116">
        <v>0.1875</v>
      </c>
      <c r="E197" s="116">
        <v>0.28055555555555556</v>
      </c>
      <c r="F197" t="s">
        <v>157</v>
      </c>
      <c r="H197" s="59">
        <f t="shared" si="19"/>
        <v>0.02083333333333337</v>
      </c>
      <c r="I197" s="234">
        <f t="shared" si="20"/>
        <v>0.1958333333333333</v>
      </c>
      <c r="J197" s="234">
        <f t="shared" si="21"/>
        <v>-0.09305555555555556</v>
      </c>
      <c r="K197" s="121">
        <f t="shared" si="22"/>
        <v>0.28888888888888886</v>
      </c>
      <c r="L197" s="233">
        <f t="shared" si="23"/>
        <v>0.20833333333333337</v>
      </c>
      <c r="M197" s="121">
        <f t="shared" si="18"/>
        <v>0.49722222222222223</v>
      </c>
      <c r="N197" s="59">
        <f t="shared" si="24"/>
        <v>6.933333334442667</v>
      </c>
      <c r="O197" s="59">
        <f t="shared" si="24"/>
        <v>5.000000000800001</v>
      </c>
      <c r="P197" s="101">
        <f>Puissance_en_nominale*Simulation!N197+Puissance_en_economie*Simulation!O197</f>
        <v>443.0014367438481</v>
      </c>
      <c r="Q197" s="101">
        <f t="shared" si="25"/>
        <v>597.8600000956578</v>
      </c>
      <c r="R197" s="128">
        <f t="shared" si="26"/>
        <v>0.25902144871212707</v>
      </c>
    </row>
    <row r="198" spans="1:18" ht="12.75">
      <c r="A198" t="s">
        <v>359</v>
      </c>
      <c r="B198" s="116">
        <v>0.7833333333333333</v>
      </c>
      <c r="C198" s="116">
        <v>0.9791666666666666</v>
      </c>
      <c r="D198" s="116">
        <v>0.1875</v>
      </c>
      <c r="E198" s="116">
        <v>0.28055555555555556</v>
      </c>
      <c r="F198" t="s">
        <v>157</v>
      </c>
      <c r="H198" s="59">
        <f t="shared" si="19"/>
        <v>0.02083333333333337</v>
      </c>
      <c r="I198" s="234">
        <f t="shared" si="20"/>
        <v>0.1958333333333333</v>
      </c>
      <c r="J198" s="234">
        <f t="shared" si="21"/>
        <v>-0.09305555555555556</v>
      </c>
      <c r="K198" s="121">
        <f t="shared" si="22"/>
        <v>0.28888888888888886</v>
      </c>
      <c r="L198" s="233">
        <f t="shared" si="23"/>
        <v>0.20833333333333337</v>
      </c>
      <c r="M198" s="121">
        <f t="shared" si="18"/>
        <v>0.49722222222222223</v>
      </c>
      <c r="N198" s="59">
        <f t="shared" si="24"/>
        <v>6.933333334442667</v>
      </c>
      <c r="O198" s="59">
        <f t="shared" si="24"/>
        <v>5.000000000800001</v>
      </c>
      <c r="P198" s="101">
        <f>Puissance_en_nominale*Simulation!N198+Puissance_en_economie*Simulation!O198</f>
        <v>443.0014367438481</v>
      </c>
      <c r="Q198" s="101">
        <f t="shared" si="25"/>
        <v>597.8600000956578</v>
      </c>
      <c r="R198" s="128">
        <f t="shared" si="26"/>
        <v>0.25902144871212707</v>
      </c>
    </row>
    <row r="199" spans="1:18" ht="12.75">
      <c r="A199" t="s">
        <v>360</v>
      </c>
      <c r="B199" s="116">
        <v>0.7833333333333333</v>
      </c>
      <c r="C199" s="116">
        <v>0.9791666666666666</v>
      </c>
      <c r="D199" s="116">
        <v>0.1875</v>
      </c>
      <c r="E199" s="116">
        <v>0.28055555555555556</v>
      </c>
      <c r="F199" t="s">
        <v>157</v>
      </c>
      <c r="H199" s="59">
        <f t="shared" si="19"/>
        <v>0.02083333333333337</v>
      </c>
      <c r="I199" s="234">
        <f t="shared" si="20"/>
        <v>0.1958333333333333</v>
      </c>
      <c r="J199" s="234">
        <f t="shared" si="21"/>
        <v>-0.09305555555555556</v>
      </c>
      <c r="K199" s="121">
        <f t="shared" si="22"/>
        <v>0.28888888888888886</v>
      </c>
      <c r="L199" s="233">
        <f t="shared" si="23"/>
        <v>0.20833333333333337</v>
      </c>
      <c r="M199" s="121">
        <f t="shared" si="18"/>
        <v>0.49722222222222223</v>
      </c>
      <c r="N199" s="59">
        <f t="shared" si="24"/>
        <v>6.933333334442667</v>
      </c>
      <c r="O199" s="59">
        <f t="shared" si="24"/>
        <v>5.000000000800001</v>
      </c>
      <c r="P199" s="101">
        <f>Puissance_en_nominale*Simulation!N199+Puissance_en_economie*Simulation!O199</f>
        <v>443.0014367438481</v>
      </c>
      <c r="Q199" s="101">
        <f t="shared" si="25"/>
        <v>597.8600000956578</v>
      </c>
      <c r="R199" s="128">
        <f t="shared" si="26"/>
        <v>0.25902144871212707</v>
      </c>
    </row>
    <row r="200" spans="1:18" ht="12.75">
      <c r="A200" t="s">
        <v>361</v>
      </c>
      <c r="B200" s="116">
        <v>0.7840277777777778</v>
      </c>
      <c r="C200" s="116">
        <v>0.9791666666666666</v>
      </c>
      <c r="D200" s="116">
        <v>0.1875</v>
      </c>
      <c r="E200" s="116">
        <v>0.29791666666666666</v>
      </c>
      <c r="F200" t="s">
        <v>157</v>
      </c>
      <c r="H200" s="59">
        <f t="shared" si="19"/>
        <v>0.02083333333333337</v>
      </c>
      <c r="I200" s="234">
        <f t="shared" si="20"/>
        <v>0.19513888888888886</v>
      </c>
      <c r="J200" s="234">
        <f t="shared" si="21"/>
        <v>-0.11041666666666666</v>
      </c>
      <c r="K200" s="121">
        <f t="shared" si="22"/>
        <v>0.3055555555555555</v>
      </c>
      <c r="L200" s="233">
        <f t="shared" si="23"/>
        <v>0.20833333333333337</v>
      </c>
      <c r="M200" s="121">
        <f t="shared" si="18"/>
        <v>0.5138888888888888</v>
      </c>
      <c r="N200" s="59">
        <f t="shared" si="24"/>
        <v>7.3333333345066665</v>
      </c>
      <c r="O200" s="59">
        <f t="shared" si="24"/>
        <v>5.000000000800001</v>
      </c>
      <c r="P200" s="101">
        <f>Puissance_en_nominale*Simulation!N200+Puissance_en_economie*Simulation!O200</f>
        <v>459.7077505461431</v>
      </c>
      <c r="Q200" s="101">
        <f t="shared" si="25"/>
        <v>617.9000000988641</v>
      </c>
      <c r="R200" s="128">
        <f t="shared" si="26"/>
        <v>0.2560159403259593</v>
      </c>
    </row>
    <row r="201" spans="1:18" ht="12.75">
      <c r="A201" t="s">
        <v>362</v>
      </c>
      <c r="B201" s="116">
        <v>0.7631944444444444</v>
      </c>
      <c r="C201" s="116">
        <v>0.9583333333333334</v>
      </c>
      <c r="D201" s="116">
        <v>0.20833333333333334</v>
      </c>
      <c r="E201" s="116">
        <v>0.2986111111111111</v>
      </c>
      <c r="F201" t="s">
        <v>180</v>
      </c>
      <c r="H201" s="59">
        <f t="shared" si="19"/>
        <v>0.04166666666666663</v>
      </c>
      <c r="I201" s="234">
        <f t="shared" si="20"/>
        <v>0.19513888888888897</v>
      </c>
      <c r="J201" s="234">
        <f t="shared" si="21"/>
        <v>-0.09027777777777776</v>
      </c>
      <c r="K201" s="121">
        <f t="shared" si="22"/>
        <v>0.28541666666666676</v>
      </c>
      <c r="L201" s="233">
        <f t="shared" si="23"/>
        <v>0.24999999999999997</v>
      </c>
      <c r="M201" s="121">
        <f t="shared" si="18"/>
        <v>0.5354166666666668</v>
      </c>
      <c r="N201" s="59">
        <f t="shared" si="24"/>
        <v>6.850000001096003</v>
      </c>
      <c r="O201" s="59">
        <f t="shared" si="24"/>
        <v>6.00000000096</v>
      </c>
      <c r="P201" s="101">
        <f>Puissance_en_nominale*Simulation!N201+Puissance_en_economie*Simulation!O201</f>
        <v>470.206020869184</v>
      </c>
      <c r="Q201" s="101">
        <f t="shared" si="25"/>
        <v>643.7850001030058</v>
      </c>
      <c r="R201" s="128">
        <f t="shared" si="26"/>
        <v>0.2696225901598346</v>
      </c>
    </row>
    <row r="202" spans="1:18" ht="12.75">
      <c r="A202" t="s">
        <v>363</v>
      </c>
      <c r="B202" s="116">
        <v>0.7631944444444444</v>
      </c>
      <c r="C202" s="116">
        <v>0.9583333333333334</v>
      </c>
      <c r="D202" s="116">
        <v>0.20833333333333334</v>
      </c>
      <c r="E202" s="116">
        <v>0.28125</v>
      </c>
      <c r="F202" t="s">
        <v>180</v>
      </c>
      <c r="H202" s="59">
        <f t="shared" si="19"/>
        <v>0.04166666666666663</v>
      </c>
      <c r="I202" s="234">
        <f t="shared" si="20"/>
        <v>0.19513888888888897</v>
      </c>
      <c r="J202" s="234">
        <f t="shared" si="21"/>
        <v>-0.07291666666666666</v>
      </c>
      <c r="K202" s="121">
        <f t="shared" si="22"/>
        <v>0.2680555555555556</v>
      </c>
      <c r="L202" s="233">
        <f t="shared" si="23"/>
        <v>0.24999999999999997</v>
      </c>
      <c r="M202" s="121">
        <f t="shared" si="18"/>
        <v>0.5180555555555556</v>
      </c>
      <c r="N202" s="59">
        <f t="shared" si="24"/>
        <v>6.433333334362668</v>
      </c>
      <c r="O202" s="59">
        <f t="shared" si="24"/>
        <v>6.00000000096</v>
      </c>
      <c r="P202" s="101">
        <f>Puissance_en_nominale*Simulation!N202+Puissance_en_economie*Simulation!O202</f>
        <v>452.80361065846</v>
      </c>
      <c r="Q202" s="101">
        <f t="shared" si="25"/>
        <v>622.9100000996658</v>
      </c>
      <c r="R202" s="128">
        <f t="shared" si="26"/>
        <v>0.2730834139987939</v>
      </c>
    </row>
    <row r="203" spans="1:18" ht="12.75">
      <c r="A203" t="s">
        <v>364</v>
      </c>
      <c r="B203" s="116">
        <v>0.7847222222222222</v>
      </c>
      <c r="C203" s="116">
        <v>0.9791666666666666</v>
      </c>
      <c r="D203" s="116">
        <v>0.1875</v>
      </c>
      <c r="E203" s="116">
        <v>0.28125</v>
      </c>
      <c r="F203" t="s">
        <v>157</v>
      </c>
      <c r="H203" s="59">
        <f t="shared" si="19"/>
        <v>0.02083333333333337</v>
      </c>
      <c r="I203" s="234">
        <f t="shared" si="20"/>
        <v>0.19444444444444442</v>
      </c>
      <c r="J203" s="234">
        <f t="shared" si="21"/>
        <v>-0.09375</v>
      </c>
      <c r="K203" s="121">
        <f t="shared" si="22"/>
        <v>0.2881944444444444</v>
      </c>
      <c r="L203" s="233">
        <f t="shared" si="23"/>
        <v>0.20833333333333337</v>
      </c>
      <c r="M203" s="121">
        <f t="shared" si="18"/>
        <v>0.4965277777777778</v>
      </c>
      <c r="N203" s="59">
        <f t="shared" si="24"/>
        <v>6.916666667773333</v>
      </c>
      <c r="O203" s="59">
        <f t="shared" si="24"/>
        <v>5.000000000800001</v>
      </c>
      <c r="P203" s="101">
        <f>Puissance_en_nominale*Simulation!N203+Puissance_en_economie*Simulation!O203</f>
        <v>442.30534033541915</v>
      </c>
      <c r="Q203" s="101">
        <f t="shared" si="25"/>
        <v>597.0250000955242</v>
      </c>
      <c r="R203" s="128">
        <f t="shared" si="26"/>
        <v>0.2591510568826261</v>
      </c>
    </row>
    <row r="204" spans="1:18" ht="12.75">
      <c r="A204" t="s">
        <v>365</v>
      </c>
      <c r="B204" s="116">
        <v>0.7847222222222222</v>
      </c>
      <c r="C204" s="116">
        <v>0.9791666666666666</v>
      </c>
      <c r="D204" s="116">
        <v>0.1875</v>
      </c>
      <c r="E204" s="116">
        <v>0.28194444444444444</v>
      </c>
      <c r="F204" t="s">
        <v>157</v>
      </c>
      <c r="H204" s="59">
        <f t="shared" si="19"/>
        <v>0.02083333333333337</v>
      </c>
      <c r="I204" s="234">
        <f t="shared" si="20"/>
        <v>0.19444444444444442</v>
      </c>
      <c r="J204" s="234">
        <f t="shared" si="21"/>
        <v>-0.09444444444444444</v>
      </c>
      <c r="K204" s="121">
        <f t="shared" si="22"/>
        <v>0.28888888888888886</v>
      </c>
      <c r="L204" s="233">
        <f t="shared" si="23"/>
        <v>0.20833333333333337</v>
      </c>
      <c r="M204" s="121">
        <f t="shared" si="18"/>
        <v>0.49722222222222223</v>
      </c>
      <c r="N204" s="59">
        <f t="shared" si="24"/>
        <v>6.933333334442667</v>
      </c>
      <c r="O204" s="59">
        <f t="shared" si="24"/>
        <v>5.000000000800001</v>
      </c>
      <c r="P204" s="101">
        <f>Puissance_en_nominale*Simulation!N204+Puissance_en_economie*Simulation!O204</f>
        <v>443.0014367438481</v>
      </c>
      <c r="Q204" s="101">
        <f t="shared" si="25"/>
        <v>597.8600000956578</v>
      </c>
      <c r="R204" s="128">
        <f t="shared" si="26"/>
        <v>0.25902144871212707</v>
      </c>
    </row>
    <row r="205" spans="1:18" ht="12.75">
      <c r="A205" t="s">
        <v>366</v>
      </c>
      <c r="B205" s="116">
        <v>0.7847222222222222</v>
      </c>
      <c r="C205" s="116">
        <v>0.9791666666666666</v>
      </c>
      <c r="D205" s="116">
        <v>0.1875</v>
      </c>
      <c r="E205" s="116">
        <v>0.28194444444444444</v>
      </c>
      <c r="F205" t="s">
        <v>157</v>
      </c>
      <c r="H205" s="59">
        <f t="shared" si="19"/>
        <v>0.02083333333333337</v>
      </c>
      <c r="I205" s="234">
        <f t="shared" si="20"/>
        <v>0.19444444444444442</v>
      </c>
      <c r="J205" s="234">
        <f t="shared" si="21"/>
        <v>-0.09444444444444444</v>
      </c>
      <c r="K205" s="121">
        <f t="shared" si="22"/>
        <v>0.28888888888888886</v>
      </c>
      <c r="L205" s="233">
        <f t="shared" si="23"/>
        <v>0.20833333333333337</v>
      </c>
      <c r="M205" s="121">
        <f t="shared" si="18"/>
        <v>0.49722222222222223</v>
      </c>
      <c r="N205" s="59">
        <f t="shared" si="24"/>
        <v>6.933333334442667</v>
      </c>
      <c r="O205" s="59">
        <f t="shared" si="24"/>
        <v>5.000000000800001</v>
      </c>
      <c r="P205" s="101">
        <f>Puissance_en_nominale*Simulation!N205+Puissance_en_economie*Simulation!O205</f>
        <v>443.0014367438481</v>
      </c>
      <c r="Q205" s="101">
        <f t="shared" si="25"/>
        <v>597.8600000956578</v>
      </c>
      <c r="R205" s="128">
        <f t="shared" si="26"/>
        <v>0.25902144871212707</v>
      </c>
    </row>
    <row r="206" spans="1:18" ht="12.75">
      <c r="A206" t="s">
        <v>367</v>
      </c>
      <c r="B206" s="116">
        <v>0.7854166666666668</v>
      </c>
      <c r="C206" s="116">
        <v>0.9791666666666666</v>
      </c>
      <c r="D206" s="116">
        <v>0.1875</v>
      </c>
      <c r="E206" s="116">
        <v>0.28194444444444444</v>
      </c>
      <c r="F206" t="s">
        <v>157</v>
      </c>
      <c r="H206" s="59">
        <f t="shared" si="19"/>
        <v>0.02083333333333337</v>
      </c>
      <c r="I206" s="234">
        <f t="shared" si="20"/>
        <v>0.19374999999999987</v>
      </c>
      <c r="J206" s="234">
        <f t="shared" si="21"/>
        <v>-0.09444444444444444</v>
      </c>
      <c r="K206" s="121">
        <f t="shared" si="22"/>
        <v>0.2881944444444443</v>
      </c>
      <c r="L206" s="233">
        <f t="shared" si="23"/>
        <v>0.20833333333333337</v>
      </c>
      <c r="M206" s="121">
        <f t="shared" si="18"/>
        <v>0.4965277777777777</v>
      </c>
      <c r="N206" s="59">
        <f t="shared" si="24"/>
        <v>6.91666666777333</v>
      </c>
      <c r="O206" s="59">
        <f t="shared" si="24"/>
        <v>5.000000000800001</v>
      </c>
      <c r="P206" s="101">
        <f>Puissance_en_nominale*Simulation!N206+Puissance_en_economie*Simulation!O206</f>
        <v>442.30534033541903</v>
      </c>
      <c r="Q206" s="101">
        <f t="shared" si="25"/>
        <v>597.025000095524</v>
      </c>
      <c r="R206" s="128">
        <f t="shared" si="26"/>
        <v>0.2591510568826261</v>
      </c>
    </row>
    <row r="207" spans="1:18" ht="12.75">
      <c r="A207" t="s">
        <v>368</v>
      </c>
      <c r="B207" s="116">
        <v>0.7854166666666668</v>
      </c>
      <c r="C207" s="116">
        <v>0.9791666666666666</v>
      </c>
      <c r="D207" s="116">
        <v>0.1875</v>
      </c>
      <c r="E207" s="116">
        <v>0.3</v>
      </c>
      <c r="F207" t="s">
        <v>157</v>
      </c>
      <c r="H207" s="59">
        <f t="shared" si="19"/>
        <v>0.02083333333333337</v>
      </c>
      <c r="I207" s="234">
        <f t="shared" si="20"/>
        <v>0.19374999999999987</v>
      </c>
      <c r="J207" s="234">
        <f t="shared" si="21"/>
        <v>-0.11249999999999999</v>
      </c>
      <c r="K207" s="121">
        <f t="shared" si="22"/>
        <v>0.30624999999999986</v>
      </c>
      <c r="L207" s="233">
        <f t="shared" si="23"/>
        <v>0.20833333333333337</v>
      </c>
      <c r="M207" s="121">
        <f aca="true" t="shared" si="27" ref="M207:M270">$K207+$L207</f>
        <v>0.5145833333333332</v>
      </c>
      <c r="N207" s="59">
        <f t="shared" si="24"/>
        <v>7.350000001175997</v>
      </c>
      <c r="O207" s="59">
        <f t="shared" si="24"/>
        <v>5.000000000800001</v>
      </c>
      <c r="P207" s="101">
        <f>Puissance_en_nominale*Simulation!N207+Puissance_en_economie*Simulation!O207</f>
        <v>460.4038469545719</v>
      </c>
      <c r="Q207" s="101">
        <f t="shared" si="25"/>
        <v>618.7350000989976</v>
      </c>
      <c r="R207" s="128">
        <f t="shared" si="26"/>
        <v>0.25589493582728096</v>
      </c>
    </row>
    <row r="208" spans="1:18" ht="12.75">
      <c r="A208" t="s">
        <v>369</v>
      </c>
      <c r="B208" s="116">
        <v>0.7645833333333334</v>
      </c>
      <c r="C208" s="116">
        <v>0.9583333333333334</v>
      </c>
      <c r="D208" s="116">
        <v>0.20833333333333334</v>
      </c>
      <c r="E208" s="116">
        <v>0.3</v>
      </c>
      <c r="F208" t="s">
        <v>180</v>
      </c>
      <c r="H208" s="59">
        <f aca="true" t="shared" si="28" ref="H208:H271">$K$5-C208</f>
        <v>0.04166666666666663</v>
      </c>
      <c r="I208" s="234">
        <f aca="true" t="shared" si="29" ref="I208:I271">C208-B208</f>
        <v>0.19374999999999998</v>
      </c>
      <c r="J208" s="234">
        <f aca="true" t="shared" si="30" ref="J208:J271">D208-E208</f>
        <v>-0.09166666666666665</v>
      </c>
      <c r="K208" s="121">
        <f aca="true" t="shared" si="31" ref="K208:K271">IF(AND($H208&lt;0.5,$I208&gt;=0,$J208&lt;0),($C208-$B208)+($E208-$D208),IF(AND($H208&lt;0.5,$I208&gt;=0,$J208&gt;=0),($C208-$B208),IF(AND($H208&lt;0.5,$I208&lt;0,$J208&gt;=0),0,IF(AND($H208&lt;0.5,$I208&lt;0,$J208&lt;0),$E208-$D208,IF(AND($H208&gt;=0.5,$I208&lt;0,$J208&lt;0),($C208-$K$7)+($K$5-$B208)+(E208-D208),IF(AND($H208&gt;=0.5,$I208&lt;0,$J208&gt;=0),($C208-$K$7)+($K$5-$B208),0))))))</f>
        <v>0.28541666666666665</v>
      </c>
      <c r="L208" s="233">
        <f aca="true" t="shared" si="32" ref="L208:L271">IF(AND($H208&lt;0.5,$I208&gt;=0,$J208&lt;0),($K$5-$C208)+($D208-$K$7),IF(AND($H208&lt;0.5,$I208&gt;=0,$J208&gt;=0),($K$5-$C208)+($E208-$K$7),IF(AND($H208&lt;0.5,$I208&lt;0,$J208&gt;=0),($K$5-$C208)+($D208-$K$7),IF(AND($H208&lt;0.5,$I208&lt;0,$J208&lt;0),($K$5-$C208)+($D208-$K$7),IF(AND($H208&gt;=0.5,$I208&lt;0,$J208&lt;0),$D208-$C208,IF(AND($H208&gt;=0.5,$I208&lt;0,$J208&gt;=0),$E208-$C208,0))))))</f>
        <v>0.24999999999999997</v>
      </c>
      <c r="M208" s="121">
        <f t="shared" si="27"/>
        <v>0.5354166666666667</v>
      </c>
      <c r="N208" s="59">
        <f aca="true" t="shared" si="33" ref="N208:O271">K208/$S$3</f>
        <v>6.850000001096</v>
      </c>
      <c r="O208" s="59">
        <f t="shared" si="33"/>
        <v>6.00000000096</v>
      </c>
      <c r="P208" s="101">
        <f>Puissance_en_nominale*Simulation!N208+Puissance_en_economie*Simulation!O208</f>
        <v>470.2060208691839</v>
      </c>
      <c r="Q208" s="101">
        <f aca="true" t="shared" si="34" ref="Q208:Q271">Puissance_à_la_tension_réseau*(N208+O208)</f>
        <v>643.7850001030057</v>
      </c>
      <c r="R208" s="128">
        <f aca="true" t="shared" si="35" ref="R208:R271">1-P208/Q208</f>
        <v>0.2696225901598347</v>
      </c>
    </row>
    <row r="209" spans="1:18" ht="12.75">
      <c r="A209" t="s">
        <v>370</v>
      </c>
      <c r="B209" s="116">
        <v>0.7652777777777778</v>
      </c>
      <c r="C209" s="116">
        <v>0.9583333333333334</v>
      </c>
      <c r="D209" s="116">
        <v>0.20833333333333334</v>
      </c>
      <c r="E209" s="116">
        <v>0.2826388888888889</v>
      </c>
      <c r="F209" t="s">
        <v>180</v>
      </c>
      <c r="H209" s="59">
        <f t="shared" si="28"/>
        <v>0.04166666666666663</v>
      </c>
      <c r="I209" s="234">
        <f t="shared" si="29"/>
        <v>0.19305555555555554</v>
      </c>
      <c r="J209" s="234">
        <f t="shared" si="30"/>
        <v>-0.07430555555555554</v>
      </c>
      <c r="K209" s="121">
        <f t="shared" si="31"/>
        <v>0.26736111111111105</v>
      </c>
      <c r="L209" s="233">
        <f t="shared" si="32"/>
        <v>0.24999999999999997</v>
      </c>
      <c r="M209" s="121">
        <f t="shared" si="27"/>
        <v>0.517361111111111</v>
      </c>
      <c r="N209" s="59">
        <f t="shared" si="33"/>
        <v>6.416666667693332</v>
      </c>
      <c r="O209" s="59">
        <f t="shared" si="33"/>
        <v>6.00000000096</v>
      </c>
      <c r="P209" s="101">
        <f>Puissance_en_nominale*Simulation!N209+Puissance_en_economie*Simulation!O209</f>
        <v>452.10751425003093</v>
      </c>
      <c r="Q209" s="101">
        <f t="shared" si="34"/>
        <v>622.075000099532</v>
      </c>
      <c r="R209" s="128">
        <f t="shared" si="35"/>
        <v>0.2732266781695234</v>
      </c>
    </row>
    <row r="210" spans="1:18" ht="12.75">
      <c r="A210" t="s">
        <v>371</v>
      </c>
      <c r="B210" s="116">
        <v>0.7861111111111111</v>
      </c>
      <c r="C210" s="116">
        <v>0.9791666666666666</v>
      </c>
      <c r="D210" s="116">
        <v>0.1875</v>
      </c>
      <c r="E210" s="116">
        <v>0.2833333333333333</v>
      </c>
      <c r="F210" t="s">
        <v>157</v>
      </c>
      <c r="H210" s="59">
        <f t="shared" si="28"/>
        <v>0.02083333333333337</v>
      </c>
      <c r="I210" s="234">
        <f t="shared" si="29"/>
        <v>0.19305555555555554</v>
      </c>
      <c r="J210" s="234">
        <f t="shared" si="30"/>
        <v>-0.09583333333333333</v>
      </c>
      <c r="K210" s="121">
        <f t="shared" si="31"/>
        <v>0.28888888888888886</v>
      </c>
      <c r="L210" s="233">
        <f t="shared" si="32"/>
        <v>0.20833333333333337</v>
      </c>
      <c r="M210" s="121">
        <f t="shared" si="27"/>
        <v>0.49722222222222223</v>
      </c>
      <c r="N210" s="59">
        <f t="shared" si="33"/>
        <v>6.933333334442667</v>
      </c>
      <c r="O210" s="59">
        <f t="shared" si="33"/>
        <v>5.000000000800001</v>
      </c>
      <c r="P210" s="101">
        <f>Puissance_en_nominale*Simulation!N210+Puissance_en_economie*Simulation!O210</f>
        <v>443.0014367438481</v>
      </c>
      <c r="Q210" s="101">
        <f t="shared" si="34"/>
        <v>597.8600000956578</v>
      </c>
      <c r="R210" s="128">
        <f t="shared" si="35"/>
        <v>0.25902144871212707</v>
      </c>
    </row>
    <row r="211" spans="1:18" ht="12.75">
      <c r="A211" t="s">
        <v>372</v>
      </c>
      <c r="B211" s="116">
        <v>0.7861111111111111</v>
      </c>
      <c r="C211" s="116">
        <v>0.9791666666666666</v>
      </c>
      <c r="D211" s="116">
        <v>0.1875</v>
      </c>
      <c r="E211" s="116">
        <v>0.2833333333333333</v>
      </c>
      <c r="F211" t="s">
        <v>157</v>
      </c>
      <c r="H211" s="59">
        <f t="shared" si="28"/>
        <v>0.02083333333333337</v>
      </c>
      <c r="I211" s="234">
        <f t="shared" si="29"/>
        <v>0.19305555555555554</v>
      </c>
      <c r="J211" s="234">
        <f t="shared" si="30"/>
        <v>-0.09583333333333333</v>
      </c>
      <c r="K211" s="121">
        <f t="shared" si="31"/>
        <v>0.28888888888888886</v>
      </c>
      <c r="L211" s="233">
        <f t="shared" si="32"/>
        <v>0.20833333333333337</v>
      </c>
      <c r="M211" s="121">
        <f t="shared" si="27"/>
        <v>0.49722222222222223</v>
      </c>
      <c r="N211" s="59">
        <f t="shared" si="33"/>
        <v>6.933333334442667</v>
      </c>
      <c r="O211" s="59">
        <f t="shared" si="33"/>
        <v>5.000000000800001</v>
      </c>
      <c r="P211" s="101">
        <f>Puissance_en_nominale*Simulation!N211+Puissance_en_economie*Simulation!O211</f>
        <v>443.0014367438481</v>
      </c>
      <c r="Q211" s="101">
        <f t="shared" si="34"/>
        <v>597.8600000956578</v>
      </c>
      <c r="R211" s="128">
        <f t="shared" si="35"/>
        <v>0.25902144871212707</v>
      </c>
    </row>
    <row r="212" spans="1:18" ht="12.75">
      <c r="A212" t="s">
        <v>373</v>
      </c>
      <c r="B212" s="116">
        <v>0.7868055555555555</v>
      </c>
      <c r="C212" s="116">
        <v>0.9791666666666666</v>
      </c>
      <c r="D212" s="116">
        <v>0.1875</v>
      </c>
      <c r="E212" s="116">
        <v>0.28402777777777777</v>
      </c>
      <c r="F212" t="s">
        <v>157</v>
      </c>
      <c r="H212" s="59">
        <f t="shared" si="28"/>
        <v>0.02083333333333337</v>
      </c>
      <c r="I212" s="234">
        <f t="shared" si="29"/>
        <v>0.1923611111111111</v>
      </c>
      <c r="J212" s="234">
        <f t="shared" si="30"/>
        <v>-0.09652777777777777</v>
      </c>
      <c r="K212" s="121">
        <f t="shared" si="31"/>
        <v>0.28888888888888886</v>
      </c>
      <c r="L212" s="233">
        <f t="shared" si="32"/>
        <v>0.20833333333333337</v>
      </c>
      <c r="M212" s="121">
        <f t="shared" si="27"/>
        <v>0.49722222222222223</v>
      </c>
      <c r="N212" s="59">
        <f t="shared" si="33"/>
        <v>6.933333334442667</v>
      </c>
      <c r="O212" s="59">
        <f t="shared" si="33"/>
        <v>5.000000000800001</v>
      </c>
      <c r="P212" s="101">
        <f>Puissance_en_nominale*Simulation!N212+Puissance_en_economie*Simulation!O212</f>
        <v>443.0014367438481</v>
      </c>
      <c r="Q212" s="101">
        <f t="shared" si="34"/>
        <v>597.8600000956578</v>
      </c>
      <c r="R212" s="128">
        <f t="shared" si="35"/>
        <v>0.25902144871212707</v>
      </c>
    </row>
    <row r="213" spans="1:18" ht="12.75">
      <c r="A213" t="s">
        <v>374</v>
      </c>
      <c r="B213" s="116">
        <v>0.7868055555555555</v>
      </c>
      <c r="C213" s="116">
        <v>0.9791666666666666</v>
      </c>
      <c r="D213" s="116">
        <v>0.1875</v>
      </c>
      <c r="E213" s="116">
        <v>0.28402777777777777</v>
      </c>
      <c r="F213" t="s">
        <v>157</v>
      </c>
      <c r="H213" s="59">
        <f t="shared" si="28"/>
        <v>0.02083333333333337</v>
      </c>
      <c r="I213" s="234">
        <f t="shared" si="29"/>
        <v>0.1923611111111111</v>
      </c>
      <c r="J213" s="234">
        <f t="shared" si="30"/>
        <v>-0.09652777777777777</v>
      </c>
      <c r="K213" s="121">
        <f t="shared" si="31"/>
        <v>0.28888888888888886</v>
      </c>
      <c r="L213" s="233">
        <f t="shared" si="32"/>
        <v>0.20833333333333337</v>
      </c>
      <c r="M213" s="121">
        <f t="shared" si="27"/>
        <v>0.49722222222222223</v>
      </c>
      <c r="N213" s="59">
        <f t="shared" si="33"/>
        <v>6.933333334442667</v>
      </c>
      <c r="O213" s="59">
        <f t="shared" si="33"/>
        <v>5.000000000800001</v>
      </c>
      <c r="P213" s="101">
        <f>Puissance_en_nominale*Simulation!N213+Puissance_en_economie*Simulation!O213</f>
        <v>443.0014367438481</v>
      </c>
      <c r="Q213" s="101">
        <f t="shared" si="34"/>
        <v>597.8600000956578</v>
      </c>
      <c r="R213" s="128">
        <f t="shared" si="35"/>
        <v>0.25902144871212707</v>
      </c>
    </row>
    <row r="214" spans="1:18" ht="12.75">
      <c r="A214" t="s">
        <v>375</v>
      </c>
      <c r="B214" s="116">
        <v>0.7875</v>
      </c>
      <c r="C214" s="116">
        <v>0.9791666666666666</v>
      </c>
      <c r="D214" s="116">
        <v>0.1875</v>
      </c>
      <c r="E214" s="116">
        <v>0.3020833333333333</v>
      </c>
      <c r="F214" t="s">
        <v>157</v>
      </c>
      <c r="H214" s="59">
        <f t="shared" si="28"/>
        <v>0.02083333333333337</v>
      </c>
      <c r="I214" s="234">
        <f t="shared" si="29"/>
        <v>0.19166666666666665</v>
      </c>
      <c r="J214" s="234">
        <f t="shared" si="30"/>
        <v>-0.11458333333333331</v>
      </c>
      <c r="K214" s="121">
        <f t="shared" si="31"/>
        <v>0.30624999999999997</v>
      </c>
      <c r="L214" s="233">
        <f t="shared" si="32"/>
        <v>0.20833333333333337</v>
      </c>
      <c r="M214" s="121">
        <f t="shared" si="27"/>
        <v>0.5145833333333334</v>
      </c>
      <c r="N214" s="59">
        <f t="shared" si="33"/>
        <v>7.350000001175999</v>
      </c>
      <c r="O214" s="59">
        <f t="shared" si="33"/>
        <v>5.000000000800001</v>
      </c>
      <c r="P214" s="101">
        <f>Puissance_en_nominale*Simulation!N214+Puissance_en_economie*Simulation!O214</f>
        <v>460.40384695457203</v>
      </c>
      <c r="Q214" s="101">
        <f t="shared" si="34"/>
        <v>618.7350000989977</v>
      </c>
      <c r="R214" s="128">
        <f t="shared" si="35"/>
        <v>0.25589493582728096</v>
      </c>
    </row>
    <row r="215" spans="1:18" ht="12.75">
      <c r="A215" t="s">
        <v>376</v>
      </c>
      <c r="B215" s="116">
        <v>0.7666666666666666</v>
      </c>
      <c r="C215" s="116">
        <v>0.9583333333333334</v>
      </c>
      <c r="D215" s="116">
        <v>0.20833333333333334</v>
      </c>
      <c r="E215" s="116">
        <v>0.3020833333333333</v>
      </c>
      <c r="F215" t="s">
        <v>180</v>
      </c>
      <c r="H215" s="59">
        <f t="shared" si="28"/>
        <v>0.04166666666666663</v>
      </c>
      <c r="I215" s="234">
        <f t="shared" si="29"/>
        <v>0.19166666666666676</v>
      </c>
      <c r="J215" s="234">
        <f t="shared" si="30"/>
        <v>-0.09374999999999997</v>
      </c>
      <c r="K215" s="121">
        <f t="shared" si="31"/>
        <v>0.28541666666666676</v>
      </c>
      <c r="L215" s="233">
        <f t="shared" si="32"/>
        <v>0.24999999999999997</v>
      </c>
      <c r="M215" s="121">
        <f t="shared" si="27"/>
        <v>0.5354166666666668</v>
      </c>
      <c r="N215" s="59">
        <f t="shared" si="33"/>
        <v>6.850000001096003</v>
      </c>
      <c r="O215" s="59">
        <f t="shared" si="33"/>
        <v>6.00000000096</v>
      </c>
      <c r="P215" s="101">
        <f>Puissance_en_nominale*Simulation!N215+Puissance_en_economie*Simulation!O215</f>
        <v>470.206020869184</v>
      </c>
      <c r="Q215" s="101">
        <f t="shared" si="34"/>
        <v>643.7850001030058</v>
      </c>
      <c r="R215" s="128">
        <f t="shared" si="35"/>
        <v>0.2696225901598346</v>
      </c>
    </row>
    <row r="216" spans="1:18" ht="12.75">
      <c r="A216" t="s">
        <v>377</v>
      </c>
      <c r="B216" s="116">
        <v>0.7673611111111112</v>
      </c>
      <c r="C216" s="116">
        <v>0.9583333333333334</v>
      </c>
      <c r="D216" s="116">
        <v>0.20833333333333334</v>
      </c>
      <c r="E216" s="116">
        <v>0.2847222222222222</v>
      </c>
      <c r="F216" t="s">
        <v>180</v>
      </c>
      <c r="H216" s="59">
        <f t="shared" si="28"/>
        <v>0.04166666666666663</v>
      </c>
      <c r="I216" s="234">
        <f t="shared" si="29"/>
        <v>0.1909722222222222</v>
      </c>
      <c r="J216" s="234">
        <f t="shared" si="30"/>
        <v>-0.07638888888888887</v>
      </c>
      <c r="K216" s="121">
        <f t="shared" si="31"/>
        <v>0.26736111111111105</v>
      </c>
      <c r="L216" s="233">
        <f t="shared" si="32"/>
        <v>0.24999999999999997</v>
      </c>
      <c r="M216" s="121">
        <f t="shared" si="27"/>
        <v>0.517361111111111</v>
      </c>
      <c r="N216" s="59">
        <f t="shared" si="33"/>
        <v>6.416666667693332</v>
      </c>
      <c r="O216" s="59">
        <f t="shared" si="33"/>
        <v>6.00000000096</v>
      </c>
      <c r="P216" s="101">
        <f>Puissance_en_nominale*Simulation!N216+Puissance_en_economie*Simulation!O216</f>
        <v>452.10751425003093</v>
      </c>
      <c r="Q216" s="101">
        <f t="shared" si="34"/>
        <v>622.075000099532</v>
      </c>
      <c r="R216" s="128">
        <f t="shared" si="35"/>
        <v>0.2732266781695234</v>
      </c>
    </row>
    <row r="217" spans="1:18" ht="12.75">
      <c r="A217" t="s">
        <v>378</v>
      </c>
      <c r="B217" s="116">
        <v>0.7881944444444445</v>
      </c>
      <c r="C217" s="116">
        <v>0.9791666666666666</v>
      </c>
      <c r="D217" s="116">
        <v>0.1875</v>
      </c>
      <c r="E217" s="116">
        <v>0.28541666666666665</v>
      </c>
      <c r="F217" t="s">
        <v>157</v>
      </c>
      <c r="H217" s="59">
        <f t="shared" si="28"/>
        <v>0.02083333333333337</v>
      </c>
      <c r="I217" s="234">
        <f t="shared" si="29"/>
        <v>0.1909722222222221</v>
      </c>
      <c r="J217" s="234">
        <f t="shared" si="30"/>
        <v>-0.09791666666666665</v>
      </c>
      <c r="K217" s="121">
        <f t="shared" si="31"/>
        <v>0.28888888888888875</v>
      </c>
      <c r="L217" s="233">
        <f t="shared" si="32"/>
        <v>0.20833333333333337</v>
      </c>
      <c r="M217" s="121">
        <f t="shared" si="27"/>
        <v>0.4972222222222221</v>
      </c>
      <c r="N217" s="59">
        <f t="shared" si="33"/>
        <v>6.933333334442664</v>
      </c>
      <c r="O217" s="59">
        <f t="shared" si="33"/>
        <v>5.000000000800001</v>
      </c>
      <c r="P217" s="101">
        <f>Puissance_en_nominale*Simulation!N217+Puissance_en_economie*Simulation!O217</f>
        <v>443.001436743848</v>
      </c>
      <c r="Q217" s="101">
        <f t="shared" si="34"/>
        <v>597.8600000956576</v>
      </c>
      <c r="R217" s="128">
        <f t="shared" si="35"/>
        <v>0.25902144871212696</v>
      </c>
    </row>
    <row r="218" spans="1:18" ht="12.75">
      <c r="A218" t="s">
        <v>379</v>
      </c>
      <c r="B218" s="116">
        <v>0.7881944444444445</v>
      </c>
      <c r="C218" s="116">
        <v>0.9791666666666666</v>
      </c>
      <c r="D218" s="116">
        <v>0.1875</v>
      </c>
      <c r="E218" s="116">
        <v>0.28541666666666665</v>
      </c>
      <c r="F218" t="s">
        <v>157</v>
      </c>
      <c r="H218" s="59">
        <f t="shared" si="28"/>
        <v>0.02083333333333337</v>
      </c>
      <c r="I218" s="234">
        <f t="shared" si="29"/>
        <v>0.1909722222222221</v>
      </c>
      <c r="J218" s="234">
        <f t="shared" si="30"/>
        <v>-0.09791666666666665</v>
      </c>
      <c r="K218" s="121">
        <f t="shared" si="31"/>
        <v>0.28888888888888875</v>
      </c>
      <c r="L218" s="233">
        <f t="shared" si="32"/>
        <v>0.20833333333333337</v>
      </c>
      <c r="M218" s="121">
        <f t="shared" si="27"/>
        <v>0.4972222222222221</v>
      </c>
      <c r="N218" s="59">
        <f t="shared" si="33"/>
        <v>6.933333334442664</v>
      </c>
      <c r="O218" s="59">
        <f t="shared" si="33"/>
        <v>5.000000000800001</v>
      </c>
      <c r="P218" s="101">
        <f>Puissance_en_nominale*Simulation!N218+Puissance_en_economie*Simulation!O218</f>
        <v>443.001436743848</v>
      </c>
      <c r="Q218" s="101">
        <f t="shared" si="34"/>
        <v>597.8600000956576</v>
      </c>
      <c r="R218" s="128">
        <f t="shared" si="35"/>
        <v>0.25902144871212696</v>
      </c>
    </row>
    <row r="219" spans="1:18" ht="12.75">
      <c r="A219" t="s">
        <v>380</v>
      </c>
      <c r="B219" s="116">
        <v>0.7888888888888889</v>
      </c>
      <c r="C219" s="116">
        <v>0.9791666666666666</v>
      </c>
      <c r="D219" s="116">
        <v>0.1875</v>
      </c>
      <c r="E219" s="116">
        <v>0.28611111111111115</v>
      </c>
      <c r="F219" t="s">
        <v>157</v>
      </c>
      <c r="H219" s="59">
        <f t="shared" si="28"/>
        <v>0.02083333333333337</v>
      </c>
      <c r="I219" s="234">
        <f t="shared" si="29"/>
        <v>0.19027777777777777</v>
      </c>
      <c r="J219" s="234">
        <f t="shared" si="30"/>
        <v>-0.09861111111111115</v>
      </c>
      <c r="K219" s="121">
        <f t="shared" si="31"/>
        <v>0.2888888888888889</v>
      </c>
      <c r="L219" s="233">
        <f t="shared" si="32"/>
        <v>0.20833333333333337</v>
      </c>
      <c r="M219" s="121">
        <f t="shared" si="27"/>
        <v>0.4972222222222223</v>
      </c>
      <c r="N219" s="59">
        <f t="shared" si="33"/>
        <v>6.9333333344426675</v>
      </c>
      <c r="O219" s="59">
        <f t="shared" si="33"/>
        <v>5.000000000800001</v>
      </c>
      <c r="P219" s="101">
        <f>Puissance_en_nominale*Simulation!N219+Puissance_en_economie*Simulation!O219</f>
        <v>443.0014367438482</v>
      </c>
      <c r="Q219" s="101">
        <f t="shared" si="34"/>
        <v>597.8600000956578</v>
      </c>
      <c r="R219" s="128">
        <f t="shared" si="35"/>
        <v>0.25902144871212684</v>
      </c>
    </row>
    <row r="220" spans="1:18" ht="12.75">
      <c r="A220" t="s">
        <v>381</v>
      </c>
      <c r="B220" s="116">
        <v>0.7888888888888889</v>
      </c>
      <c r="C220" s="116">
        <v>0.9791666666666666</v>
      </c>
      <c r="D220" s="116">
        <v>0.1875</v>
      </c>
      <c r="E220" s="116">
        <v>0.28611111111111115</v>
      </c>
      <c r="F220" t="s">
        <v>157</v>
      </c>
      <c r="H220" s="59">
        <f t="shared" si="28"/>
        <v>0.02083333333333337</v>
      </c>
      <c r="I220" s="234">
        <f t="shared" si="29"/>
        <v>0.19027777777777777</v>
      </c>
      <c r="J220" s="234">
        <f t="shared" si="30"/>
        <v>-0.09861111111111115</v>
      </c>
      <c r="K220" s="121">
        <f t="shared" si="31"/>
        <v>0.2888888888888889</v>
      </c>
      <c r="L220" s="233">
        <f t="shared" si="32"/>
        <v>0.20833333333333337</v>
      </c>
      <c r="M220" s="121">
        <f t="shared" si="27"/>
        <v>0.4972222222222223</v>
      </c>
      <c r="N220" s="59">
        <f t="shared" si="33"/>
        <v>6.9333333344426675</v>
      </c>
      <c r="O220" s="59">
        <f t="shared" si="33"/>
        <v>5.000000000800001</v>
      </c>
      <c r="P220" s="101">
        <f>Puissance_en_nominale*Simulation!N220+Puissance_en_economie*Simulation!O220</f>
        <v>443.0014367438482</v>
      </c>
      <c r="Q220" s="101">
        <f t="shared" si="34"/>
        <v>597.8600000956578</v>
      </c>
      <c r="R220" s="128">
        <f t="shared" si="35"/>
        <v>0.25902144871212684</v>
      </c>
    </row>
    <row r="221" spans="1:18" ht="12.75">
      <c r="A221" t="s">
        <v>382</v>
      </c>
      <c r="B221" s="116">
        <v>0.7895833333333333</v>
      </c>
      <c r="C221" s="116">
        <v>0.9791666666666666</v>
      </c>
      <c r="D221" s="116">
        <v>0.1875</v>
      </c>
      <c r="E221" s="116">
        <v>0.30416666666666664</v>
      </c>
      <c r="F221" t="s">
        <v>157</v>
      </c>
      <c r="H221" s="59">
        <f t="shared" si="28"/>
        <v>0.02083333333333337</v>
      </c>
      <c r="I221" s="234">
        <f t="shared" si="29"/>
        <v>0.18958333333333333</v>
      </c>
      <c r="J221" s="234">
        <f t="shared" si="30"/>
        <v>-0.11666666666666664</v>
      </c>
      <c r="K221" s="121">
        <f t="shared" si="31"/>
        <v>0.30624999999999997</v>
      </c>
      <c r="L221" s="233">
        <f t="shared" si="32"/>
        <v>0.20833333333333337</v>
      </c>
      <c r="M221" s="121">
        <f t="shared" si="27"/>
        <v>0.5145833333333334</v>
      </c>
      <c r="N221" s="59">
        <f t="shared" si="33"/>
        <v>7.350000001175999</v>
      </c>
      <c r="O221" s="59">
        <f t="shared" si="33"/>
        <v>5.000000000800001</v>
      </c>
      <c r="P221" s="101">
        <f>Puissance_en_nominale*Simulation!N221+Puissance_en_economie*Simulation!O221</f>
        <v>460.40384695457203</v>
      </c>
      <c r="Q221" s="101">
        <f t="shared" si="34"/>
        <v>618.7350000989977</v>
      </c>
      <c r="R221" s="128">
        <f t="shared" si="35"/>
        <v>0.25589493582728096</v>
      </c>
    </row>
    <row r="222" spans="1:18" ht="12.75">
      <c r="A222" t="s">
        <v>383</v>
      </c>
      <c r="B222" s="116">
        <v>0.76875</v>
      </c>
      <c r="C222" s="116">
        <v>0.9583333333333334</v>
      </c>
      <c r="D222" s="116">
        <v>0.20833333333333334</v>
      </c>
      <c r="E222" s="116">
        <v>0.30416666666666664</v>
      </c>
      <c r="F222" t="s">
        <v>180</v>
      </c>
      <c r="H222" s="59">
        <f t="shared" si="28"/>
        <v>0.04166666666666663</v>
      </c>
      <c r="I222" s="234">
        <f t="shared" si="29"/>
        <v>0.18958333333333333</v>
      </c>
      <c r="J222" s="234">
        <f t="shared" si="30"/>
        <v>-0.0958333333333333</v>
      </c>
      <c r="K222" s="121">
        <f t="shared" si="31"/>
        <v>0.28541666666666665</v>
      </c>
      <c r="L222" s="233">
        <f t="shared" si="32"/>
        <v>0.24999999999999997</v>
      </c>
      <c r="M222" s="121">
        <f t="shared" si="27"/>
        <v>0.5354166666666667</v>
      </c>
      <c r="N222" s="59">
        <f t="shared" si="33"/>
        <v>6.850000001096</v>
      </c>
      <c r="O222" s="59">
        <f t="shared" si="33"/>
        <v>6.00000000096</v>
      </c>
      <c r="P222" s="101">
        <f>Puissance_en_nominale*Simulation!N222+Puissance_en_economie*Simulation!O222</f>
        <v>470.2060208691839</v>
      </c>
      <c r="Q222" s="101">
        <f t="shared" si="34"/>
        <v>643.7850001030057</v>
      </c>
      <c r="R222" s="128">
        <f t="shared" si="35"/>
        <v>0.2696225901598347</v>
      </c>
    </row>
    <row r="223" spans="1:18" ht="12.75">
      <c r="A223" t="s">
        <v>384</v>
      </c>
      <c r="B223" s="116">
        <v>0.7694444444444444</v>
      </c>
      <c r="C223" s="116">
        <v>0.9583333333333334</v>
      </c>
      <c r="D223" s="116">
        <v>0.20833333333333334</v>
      </c>
      <c r="E223" s="116">
        <v>0.2875</v>
      </c>
      <c r="F223" t="s">
        <v>180</v>
      </c>
      <c r="H223" s="59">
        <f t="shared" si="28"/>
        <v>0.04166666666666663</v>
      </c>
      <c r="I223" s="234">
        <f t="shared" si="29"/>
        <v>0.188888888888889</v>
      </c>
      <c r="J223" s="234">
        <f t="shared" si="30"/>
        <v>-0.07916666666666664</v>
      </c>
      <c r="K223" s="121">
        <f t="shared" si="31"/>
        <v>0.2680555555555556</v>
      </c>
      <c r="L223" s="233">
        <f t="shared" si="32"/>
        <v>0.24999999999999997</v>
      </c>
      <c r="M223" s="121">
        <f t="shared" si="27"/>
        <v>0.5180555555555556</v>
      </c>
      <c r="N223" s="59">
        <f t="shared" si="33"/>
        <v>6.433333334362668</v>
      </c>
      <c r="O223" s="59">
        <f t="shared" si="33"/>
        <v>6.00000000096</v>
      </c>
      <c r="P223" s="101">
        <f>Puissance_en_nominale*Simulation!N223+Puissance_en_economie*Simulation!O223</f>
        <v>452.80361065846</v>
      </c>
      <c r="Q223" s="101">
        <f t="shared" si="34"/>
        <v>622.9100000996658</v>
      </c>
      <c r="R223" s="128">
        <f t="shared" si="35"/>
        <v>0.2730834139987939</v>
      </c>
    </row>
    <row r="224" spans="1:18" ht="12.75">
      <c r="A224" t="s">
        <v>385</v>
      </c>
      <c r="B224" s="116">
        <v>0.7902777777777777</v>
      </c>
      <c r="C224" s="116">
        <v>0.9791666666666666</v>
      </c>
      <c r="D224" s="116">
        <v>0.1875</v>
      </c>
      <c r="E224" s="116">
        <v>0.2875</v>
      </c>
      <c r="F224" t="s">
        <v>157</v>
      </c>
      <c r="H224" s="59">
        <f t="shared" si="28"/>
        <v>0.02083333333333337</v>
      </c>
      <c r="I224" s="234">
        <f t="shared" si="29"/>
        <v>0.18888888888888888</v>
      </c>
      <c r="J224" s="234">
        <f t="shared" si="30"/>
        <v>-0.09999999999999998</v>
      </c>
      <c r="K224" s="121">
        <f t="shared" si="31"/>
        <v>0.28888888888888886</v>
      </c>
      <c r="L224" s="233">
        <f t="shared" si="32"/>
        <v>0.20833333333333337</v>
      </c>
      <c r="M224" s="121">
        <f t="shared" si="27"/>
        <v>0.49722222222222223</v>
      </c>
      <c r="N224" s="59">
        <f t="shared" si="33"/>
        <v>6.933333334442667</v>
      </c>
      <c r="O224" s="59">
        <f t="shared" si="33"/>
        <v>5.000000000800001</v>
      </c>
      <c r="P224" s="101">
        <f>Puissance_en_nominale*Simulation!N224+Puissance_en_economie*Simulation!O224</f>
        <v>443.0014367438481</v>
      </c>
      <c r="Q224" s="101">
        <f t="shared" si="34"/>
        <v>597.8600000956578</v>
      </c>
      <c r="R224" s="128">
        <f t="shared" si="35"/>
        <v>0.25902144871212707</v>
      </c>
    </row>
    <row r="225" spans="1:18" ht="12.75">
      <c r="A225" t="s">
        <v>386</v>
      </c>
      <c r="B225" s="116">
        <v>0.7909722222222223</v>
      </c>
      <c r="C225" s="116">
        <v>0.9791666666666666</v>
      </c>
      <c r="D225" s="116">
        <v>0.1875</v>
      </c>
      <c r="E225" s="116">
        <v>0.2881944444444445</v>
      </c>
      <c r="F225" t="s">
        <v>157</v>
      </c>
      <c r="H225" s="59">
        <f t="shared" si="28"/>
        <v>0.02083333333333337</v>
      </c>
      <c r="I225" s="234">
        <f t="shared" si="29"/>
        <v>0.18819444444444433</v>
      </c>
      <c r="J225" s="234">
        <f t="shared" si="30"/>
        <v>-0.10069444444444448</v>
      </c>
      <c r="K225" s="121">
        <f t="shared" si="31"/>
        <v>0.2888888888888888</v>
      </c>
      <c r="L225" s="233">
        <f t="shared" si="32"/>
        <v>0.20833333333333337</v>
      </c>
      <c r="M225" s="121">
        <f t="shared" si="27"/>
        <v>0.4972222222222222</v>
      </c>
      <c r="N225" s="59">
        <f t="shared" si="33"/>
        <v>6.933333334442665</v>
      </c>
      <c r="O225" s="59">
        <f t="shared" si="33"/>
        <v>5.000000000800001</v>
      </c>
      <c r="P225" s="101">
        <f>Puissance_en_nominale*Simulation!N225+Puissance_en_economie*Simulation!O225</f>
        <v>443.0014367438481</v>
      </c>
      <c r="Q225" s="101">
        <f t="shared" si="34"/>
        <v>597.8600000956576</v>
      </c>
      <c r="R225" s="128">
        <f t="shared" si="35"/>
        <v>0.25902144871212684</v>
      </c>
    </row>
    <row r="226" spans="1:18" ht="12.75">
      <c r="A226" t="s">
        <v>387</v>
      </c>
      <c r="B226" s="116">
        <v>0.7909722222222223</v>
      </c>
      <c r="C226" s="116">
        <v>0.9791666666666666</v>
      </c>
      <c r="D226" s="116">
        <v>0.1875</v>
      </c>
      <c r="E226" s="116">
        <v>0.2881944444444445</v>
      </c>
      <c r="F226" t="s">
        <v>157</v>
      </c>
      <c r="H226" s="59">
        <f t="shared" si="28"/>
        <v>0.02083333333333337</v>
      </c>
      <c r="I226" s="234">
        <f t="shared" si="29"/>
        <v>0.18819444444444433</v>
      </c>
      <c r="J226" s="234">
        <f t="shared" si="30"/>
        <v>-0.10069444444444448</v>
      </c>
      <c r="K226" s="121">
        <f t="shared" si="31"/>
        <v>0.2888888888888888</v>
      </c>
      <c r="L226" s="233">
        <f t="shared" si="32"/>
        <v>0.20833333333333337</v>
      </c>
      <c r="M226" s="121">
        <f t="shared" si="27"/>
        <v>0.4972222222222222</v>
      </c>
      <c r="N226" s="59">
        <f t="shared" si="33"/>
        <v>6.933333334442665</v>
      </c>
      <c r="O226" s="59">
        <f t="shared" si="33"/>
        <v>5.000000000800001</v>
      </c>
      <c r="P226" s="101">
        <f>Puissance_en_nominale*Simulation!N226+Puissance_en_economie*Simulation!O226</f>
        <v>443.0014367438481</v>
      </c>
      <c r="Q226" s="101">
        <f t="shared" si="34"/>
        <v>597.8600000956576</v>
      </c>
      <c r="R226" s="128">
        <f t="shared" si="35"/>
        <v>0.25902144871212684</v>
      </c>
    </row>
    <row r="227" spans="1:18" ht="12.75">
      <c r="A227" t="s">
        <v>388</v>
      </c>
      <c r="B227" s="116">
        <v>0.7916666666666666</v>
      </c>
      <c r="C227" s="116">
        <v>0.9791666666666666</v>
      </c>
      <c r="D227" s="116">
        <v>0.1875</v>
      </c>
      <c r="E227" s="116">
        <v>0.2888888888888889</v>
      </c>
      <c r="F227" t="s">
        <v>157</v>
      </c>
      <c r="H227" s="59">
        <f t="shared" si="28"/>
        <v>0.02083333333333337</v>
      </c>
      <c r="I227" s="234">
        <f t="shared" si="29"/>
        <v>0.1875</v>
      </c>
      <c r="J227" s="234">
        <f t="shared" si="30"/>
        <v>-0.10138888888888892</v>
      </c>
      <c r="K227" s="121">
        <f t="shared" si="31"/>
        <v>0.2888888888888889</v>
      </c>
      <c r="L227" s="233">
        <f t="shared" si="32"/>
        <v>0.20833333333333337</v>
      </c>
      <c r="M227" s="121">
        <f t="shared" si="27"/>
        <v>0.4972222222222223</v>
      </c>
      <c r="N227" s="59">
        <f t="shared" si="33"/>
        <v>6.9333333344426675</v>
      </c>
      <c r="O227" s="59">
        <f t="shared" si="33"/>
        <v>5.000000000800001</v>
      </c>
      <c r="P227" s="101">
        <f>Puissance_en_nominale*Simulation!N227+Puissance_en_economie*Simulation!O227</f>
        <v>443.0014367438482</v>
      </c>
      <c r="Q227" s="101">
        <f t="shared" si="34"/>
        <v>597.8600000956578</v>
      </c>
      <c r="R227" s="128">
        <f t="shared" si="35"/>
        <v>0.25902144871212684</v>
      </c>
    </row>
    <row r="228" spans="1:18" ht="12.75">
      <c r="A228" t="s">
        <v>389</v>
      </c>
      <c r="B228" s="116">
        <v>0.7916666666666666</v>
      </c>
      <c r="C228" s="116">
        <v>0.9791666666666666</v>
      </c>
      <c r="D228" s="116">
        <v>0.1875</v>
      </c>
      <c r="E228" s="116">
        <v>0.30625</v>
      </c>
      <c r="F228" t="s">
        <v>157</v>
      </c>
      <c r="H228" s="59">
        <f t="shared" si="28"/>
        <v>0.02083333333333337</v>
      </c>
      <c r="I228" s="234">
        <f t="shared" si="29"/>
        <v>0.1875</v>
      </c>
      <c r="J228" s="234">
        <f t="shared" si="30"/>
        <v>-0.11875000000000002</v>
      </c>
      <c r="K228" s="121">
        <f t="shared" si="31"/>
        <v>0.30625</v>
      </c>
      <c r="L228" s="233">
        <f t="shared" si="32"/>
        <v>0.20833333333333337</v>
      </c>
      <c r="M228" s="121">
        <f t="shared" si="27"/>
        <v>0.5145833333333334</v>
      </c>
      <c r="N228" s="59">
        <f t="shared" si="33"/>
        <v>7.350000001176001</v>
      </c>
      <c r="O228" s="59">
        <f t="shared" si="33"/>
        <v>5.000000000800001</v>
      </c>
      <c r="P228" s="101">
        <f>Puissance_en_nominale*Simulation!N228+Puissance_en_economie*Simulation!O228</f>
        <v>460.40384695457215</v>
      </c>
      <c r="Q228" s="101">
        <f t="shared" si="34"/>
        <v>618.7350000989978</v>
      </c>
      <c r="R228" s="128">
        <f t="shared" si="35"/>
        <v>0.25589493582728084</v>
      </c>
    </row>
    <row r="229" spans="1:18" ht="12.75">
      <c r="A229" t="s">
        <v>390</v>
      </c>
      <c r="B229" s="116">
        <v>0.7715277777777777</v>
      </c>
      <c r="C229" s="116">
        <v>0.9583333333333334</v>
      </c>
      <c r="D229" s="116">
        <v>0.20833333333333334</v>
      </c>
      <c r="E229" s="116">
        <v>0.3069444444444444</v>
      </c>
      <c r="F229" t="s">
        <v>180</v>
      </c>
      <c r="H229" s="59">
        <f t="shared" si="28"/>
        <v>0.04166666666666663</v>
      </c>
      <c r="I229" s="234">
        <f t="shared" si="29"/>
        <v>0.18680555555555567</v>
      </c>
      <c r="J229" s="234">
        <f t="shared" si="30"/>
        <v>-0.09861111111111107</v>
      </c>
      <c r="K229" s="121">
        <f t="shared" si="31"/>
        <v>0.28541666666666676</v>
      </c>
      <c r="L229" s="233">
        <f t="shared" si="32"/>
        <v>0.24999999999999997</v>
      </c>
      <c r="M229" s="121">
        <f t="shared" si="27"/>
        <v>0.5354166666666668</v>
      </c>
      <c r="N229" s="59">
        <f t="shared" si="33"/>
        <v>6.850000001096003</v>
      </c>
      <c r="O229" s="59">
        <f t="shared" si="33"/>
        <v>6.00000000096</v>
      </c>
      <c r="P229" s="101">
        <f>Puissance_en_nominale*Simulation!N229+Puissance_en_economie*Simulation!O229</f>
        <v>470.206020869184</v>
      </c>
      <c r="Q229" s="101">
        <f t="shared" si="34"/>
        <v>643.7850001030058</v>
      </c>
      <c r="R229" s="128">
        <f t="shared" si="35"/>
        <v>0.2696225901598346</v>
      </c>
    </row>
    <row r="230" spans="1:18" ht="12.75">
      <c r="A230" t="s">
        <v>391</v>
      </c>
      <c r="B230" s="116">
        <v>0.7715277777777777</v>
      </c>
      <c r="C230" s="116">
        <v>0.9583333333333334</v>
      </c>
      <c r="D230" s="116">
        <v>0.20833333333333334</v>
      </c>
      <c r="E230" s="116">
        <v>0.28958333333333336</v>
      </c>
      <c r="F230" t="s">
        <v>180</v>
      </c>
      <c r="H230" s="59">
        <f t="shared" si="28"/>
        <v>0.04166666666666663</v>
      </c>
      <c r="I230" s="234">
        <f t="shared" si="29"/>
        <v>0.18680555555555567</v>
      </c>
      <c r="J230" s="234">
        <f t="shared" si="30"/>
        <v>-0.08125000000000002</v>
      </c>
      <c r="K230" s="121">
        <f t="shared" si="31"/>
        <v>0.2680555555555557</v>
      </c>
      <c r="L230" s="233">
        <f t="shared" si="32"/>
        <v>0.24999999999999997</v>
      </c>
      <c r="M230" s="121">
        <f t="shared" si="27"/>
        <v>0.5180555555555557</v>
      </c>
      <c r="N230" s="59">
        <f t="shared" si="33"/>
        <v>6.433333334362671</v>
      </c>
      <c r="O230" s="59">
        <f t="shared" si="33"/>
        <v>6.00000000096</v>
      </c>
      <c r="P230" s="101">
        <f>Puissance_en_nominale*Simulation!N230+Puissance_en_economie*Simulation!O230</f>
        <v>452.8036106584601</v>
      </c>
      <c r="Q230" s="101">
        <f t="shared" si="34"/>
        <v>622.9100000996659</v>
      </c>
      <c r="R230" s="128">
        <f t="shared" si="35"/>
        <v>0.2730834139987939</v>
      </c>
    </row>
    <row r="231" spans="1:18" ht="12.75">
      <c r="A231" t="s">
        <v>392</v>
      </c>
      <c r="B231" s="116">
        <v>0.7930555555555556</v>
      </c>
      <c r="C231" s="116">
        <v>0.9791666666666666</v>
      </c>
      <c r="D231" s="116">
        <v>0.1875</v>
      </c>
      <c r="E231" s="116">
        <v>0.2902777777777778</v>
      </c>
      <c r="F231" t="s">
        <v>157</v>
      </c>
      <c r="H231" s="59">
        <f t="shared" si="28"/>
        <v>0.02083333333333337</v>
      </c>
      <c r="I231" s="234">
        <f t="shared" si="29"/>
        <v>0.186111111111111</v>
      </c>
      <c r="J231" s="234">
        <f t="shared" si="30"/>
        <v>-0.1027777777777778</v>
      </c>
      <c r="K231" s="121">
        <f t="shared" si="31"/>
        <v>0.2888888888888888</v>
      </c>
      <c r="L231" s="233">
        <f t="shared" si="32"/>
        <v>0.20833333333333337</v>
      </c>
      <c r="M231" s="121">
        <f t="shared" si="27"/>
        <v>0.4972222222222222</v>
      </c>
      <c r="N231" s="59">
        <f t="shared" si="33"/>
        <v>6.933333334442665</v>
      </c>
      <c r="O231" s="59">
        <f t="shared" si="33"/>
        <v>5.000000000800001</v>
      </c>
      <c r="P231" s="101">
        <f>Puissance_en_nominale*Simulation!N231+Puissance_en_economie*Simulation!O231</f>
        <v>443.0014367438481</v>
      </c>
      <c r="Q231" s="101">
        <f t="shared" si="34"/>
        <v>597.8600000956576</v>
      </c>
      <c r="R231" s="128">
        <f t="shared" si="35"/>
        <v>0.25902144871212684</v>
      </c>
    </row>
    <row r="232" spans="1:18" ht="12.75">
      <c r="A232" t="s">
        <v>393</v>
      </c>
      <c r="B232" s="116">
        <v>0.7930555555555556</v>
      </c>
      <c r="C232" s="116">
        <v>0.9791666666666666</v>
      </c>
      <c r="D232" s="116">
        <v>0.1875</v>
      </c>
      <c r="E232" s="116">
        <v>0.2902777777777778</v>
      </c>
      <c r="F232" t="s">
        <v>157</v>
      </c>
      <c r="H232" s="59">
        <f t="shared" si="28"/>
        <v>0.02083333333333337</v>
      </c>
      <c r="I232" s="234">
        <f t="shared" si="29"/>
        <v>0.186111111111111</v>
      </c>
      <c r="J232" s="234">
        <f t="shared" si="30"/>
        <v>-0.1027777777777778</v>
      </c>
      <c r="K232" s="121">
        <f t="shared" si="31"/>
        <v>0.2888888888888888</v>
      </c>
      <c r="L232" s="233">
        <f t="shared" si="32"/>
        <v>0.20833333333333337</v>
      </c>
      <c r="M232" s="121">
        <f t="shared" si="27"/>
        <v>0.4972222222222222</v>
      </c>
      <c r="N232" s="59">
        <f t="shared" si="33"/>
        <v>6.933333334442665</v>
      </c>
      <c r="O232" s="59">
        <f t="shared" si="33"/>
        <v>5.000000000800001</v>
      </c>
      <c r="P232" s="101">
        <f>Puissance_en_nominale*Simulation!N232+Puissance_en_economie*Simulation!O232</f>
        <v>443.0014367438481</v>
      </c>
      <c r="Q232" s="101">
        <f t="shared" si="34"/>
        <v>597.8600000956576</v>
      </c>
      <c r="R232" s="128">
        <f t="shared" si="35"/>
        <v>0.25902144871212684</v>
      </c>
    </row>
    <row r="233" spans="1:18" ht="12.75">
      <c r="A233" t="s">
        <v>394</v>
      </c>
      <c r="B233" s="116">
        <v>0.79375</v>
      </c>
      <c r="C233" s="116">
        <v>0.9791666666666666</v>
      </c>
      <c r="D233" s="116">
        <v>0.1875</v>
      </c>
      <c r="E233" s="116">
        <v>0.29097222222222224</v>
      </c>
      <c r="F233" t="s">
        <v>157</v>
      </c>
      <c r="H233" s="59">
        <f t="shared" si="28"/>
        <v>0.02083333333333337</v>
      </c>
      <c r="I233" s="234">
        <f t="shared" si="29"/>
        <v>0.18541666666666667</v>
      </c>
      <c r="J233" s="234">
        <f t="shared" si="30"/>
        <v>-0.10347222222222224</v>
      </c>
      <c r="K233" s="121">
        <f t="shared" si="31"/>
        <v>0.2888888888888889</v>
      </c>
      <c r="L233" s="233">
        <f t="shared" si="32"/>
        <v>0.20833333333333337</v>
      </c>
      <c r="M233" s="121">
        <f t="shared" si="27"/>
        <v>0.4972222222222223</v>
      </c>
      <c r="N233" s="59">
        <f t="shared" si="33"/>
        <v>6.9333333344426675</v>
      </c>
      <c r="O233" s="59">
        <f t="shared" si="33"/>
        <v>5.000000000800001</v>
      </c>
      <c r="P233" s="101">
        <f>Puissance_en_nominale*Simulation!N233+Puissance_en_economie*Simulation!O233</f>
        <v>443.0014367438482</v>
      </c>
      <c r="Q233" s="101">
        <f t="shared" si="34"/>
        <v>597.8600000956578</v>
      </c>
      <c r="R233" s="128">
        <f t="shared" si="35"/>
        <v>0.25902144871212684</v>
      </c>
    </row>
    <row r="234" spans="1:18" ht="12.75">
      <c r="A234" t="s">
        <v>395</v>
      </c>
      <c r="B234" s="116">
        <v>0.79375</v>
      </c>
      <c r="C234" s="116">
        <v>0.9791666666666666</v>
      </c>
      <c r="D234" s="116">
        <v>0.1875</v>
      </c>
      <c r="E234" s="116">
        <v>0.29097222222222224</v>
      </c>
      <c r="F234" t="s">
        <v>157</v>
      </c>
      <c r="H234" s="59">
        <f t="shared" si="28"/>
        <v>0.02083333333333337</v>
      </c>
      <c r="I234" s="234">
        <f t="shared" si="29"/>
        <v>0.18541666666666667</v>
      </c>
      <c r="J234" s="234">
        <f t="shared" si="30"/>
        <v>-0.10347222222222224</v>
      </c>
      <c r="K234" s="121">
        <f t="shared" si="31"/>
        <v>0.2888888888888889</v>
      </c>
      <c r="L234" s="233">
        <f t="shared" si="32"/>
        <v>0.20833333333333337</v>
      </c>
      <c r="M234" s="121">
        <f t="shared" si="27"/>
        <v>0.4972222222222223</v>
      </c>
      <c r="N234" s="59">
        <f t="shared" si="33"/>
        <v>6.9333333344426675</v>
      </c>
      <c r="O234" s="59">
        <f t="shared" si="33"/>
        <v>5.000000000800001</v>
      </c>
      <c r="P234" s="101">
        <f>Puissance_en_nominale*Simulation!N234+Puissance_en_economie*Simulation!O234</f>
        <v>443.0014367438482</v>
      </c>
      <c r="Q234" s="101">
        <f t="shared" si="34"/>
        <v>597.8600000956578</v>
      </c>
      <c r="R234" s="128">
        <f t="shared" si="35"/>
        <v>0.25902144871212684</v>
      </c>
    </row>
    <row r="235" spans="1:18" ht="12.75">
      <c r="A235" t="s">
        <v>396</v>
      </c>
      <c r="B235" s="116">
        <v>0.7944444444444444</v>
      </c>
      <c r="C235" s="116">
        <v>0.9791666666666666</v>
      </c>
      <c r="D235" s="116">
        <v>0.1875</v>
      </c>
      <c r="E235" s="116">
        <v>0.3090277777777778</v>
      </c>
      <c r="F235" t="s">
        <v>157</v>
      </c>
      <c r="H235" s="59">
        <f t="shared" si="28"/>
        <v>0.02083333333333337</v>
      </c>
      <c r="I235" s="234">
        <f t="shared" si="29"/>
        <v>0.18472222222222223</v>
      </c>
      <c r="J235" s="234">
        <f t="shared" si="30"/>
        <v>-0.12152777777777779</v>
      </c>
      <c r="K235" s="121">
        <f t="shared" si="31"/>
        <v>0.30625</v>
      </c>
      <c r="L235" s="233">
        <f t="shared" si="32"/>
        <v>0.20833333333333337</v>
      </c>
      <c r="M235" s="121">
        <f t="shared" si="27"/>
        <v>0.5145833333333334</v>
      </c>
      <c r="N235" s="59">
        <f t="shared" si="33"/>
        <v>7.350000001176001</v>
      </c>
      <c r="O235" s="59">
        <f t="shared" si="33"/>
        <v>5.000000000800001</v>
      </c>
      <c r="P235" s="101">
        <f>Puissance_en_nominale*Simulation!N235+Puissance_en_economie*Simulation!O235</f>
        <v>460.40384695457215</v>
      </c>
      <c r="Q235" s="101">
        <f t="shared" si="34"/>
        <v>618.7350000989978</v>
      </c>
      <c r="R235" s="128">
        <f t="shared" si="35"/>
        <v>0.25589493582728084</v>
      </c>
    </row>
    <row r="236" spans="1:18" ht="12.75">
      <c r="A236" t="s">
        <v>397</v>
      </c>
      <c r="B236" s="116">
        <v>0.7736111111111111</v>
      </c>
      <c r="C236" s="116">
        <v>0.9583333333333334</v>
      </c>
      <c r="D236" s="116">
        <v>0.20833333333333334</v>
      </c>
      <c r="E236" s="116">
        <v>0.3090277777777778</v>
      </c>
      <c r="F236" t="s">
        <v>180</v>
      </c>
      <c r="H236" s="59">
        <f t="shared" si="28"/>
        <v>0.04166666666666663</v>
      </c>
      <c r="I236" s="234">
        <f t="shared" si="29"/>
        <v>0.18472222222222223</v>
      </c>
      <c r="J236" s="234">
        <f t="shared" si="30"/>
        <v>-0.10069444444444445</v>
      </c>
      <c r="K236" s="121">
        <f t="shared" si="31"/>
        <v>0.28541666666666665</v>
      </c>
      <c r="L236" s="233">
        <f t="shared" si="32"/>
        <v>0.24999999999999997</v>
      </c>
      <c r="M236" s="121">
        <f t="shared" si="27"/>
        <v>0.5354166666666667</v>
      </c>
      <c r="N236" s="59">
        <f t="shared" si="33"/>
        <v>6.850000001096</v>
      </c>
      <c r="O236" s="59">
        <f t="shared" si="33"/>
        <v>6.00000000096</v>
      </c>
      <c r="P236" s="101">
        <f>Puissance_en_nominale*Simulation!N236+Puissance_en_economie*Simulation!O236</f>
        <v>470.2060208691839</v>
      </c>
      <c r="Q236" s="101">
        <f t="shared" si="34"/>
        <v>643.7850001030057</v>
      </c>
      <c r="R236" s="128">
        <f t="shared" si="35"/>
        <v>0.2696225901598347</v>
      </c>
    </row>
    <row r="237" spans="1:18" ht="12.75">
      <c r="A237" t="s">
        <v>398</v>
      </c>
      <c r="B237" s="116">
        <v>0.7743055555555555</v>
      </c>
      <c r="C237" s="116">
        <v>0.9583333333333334</v>
      </c>
      <c r="D237" s="116">
        <v>0.20833333333333334</v>
      </c>
      <c r="E237" s="116">
        <v>0.2923611111111111</v>
      </c>
      <c r="F237" t="s">
        <v>180</v>
      </c>
      <c r="H237" s="59">
        <f t="shared" si="28"/>
        <v>0.04166666666666663</v>
      </c>
      <c r="I237" s="234">
        <f t="shared" si="29"/>
        <v>0.1840277777777779</v>
      </c>
      <c r="J237" s="234">
        <f t="shared" si="30"/>
        <v>-0.08402777777777778</v>
      </c>
      <c r="K237" s="121">
        <f t="shared" si="31"/>
        <v>0.2680555555555557</v>
      </c>
      <c r="L237" s="233">
        <f t="shared" si="32"/>
        <v>0.24999999999999997</v>
      </c>
      <c r="M237" s="121">
        <f t="shared" si="27"/>
        <v>0.5180555555555557</v>
      </c>
      <c r="N237" s="59">
        <f t="shared" si="33"/>
        <v>6.433333334362671</v>
      </c>
      <c r="O237" s="59">
        <f t="shared" si="33"/>
        <v>6.00000000096</v>
      </c>
      <c r="P237" s="101">
        <f>Puissance_en_nominale*Simulation!N237+Puissance_en_economie*Simulation!O237</f>
        <v>452.8036106584601</v>
      </c>
      <c r="Q237" s="101">
        <f t="shared" si="34"/>
        <v>622.9100000996659</v>
      </c>
      <c r="R237" s="128">
        <f t="shared" si="35"/>
        <v>0.2730834139987939</v>
      </c>
    </row>
    <row r="238" spans="1:18" ht="12.75">
      <c r="A238" t="s">
        <v>399</v>
      </c>
      <c r="B238" s="116">
        <v>0.7951388888888888</v>
      </c>
      <c r="C238" s="116">
        <v>0.9791666666666666</v>
      </c>
      <c r="D238" s="116">
        <v>0.1875</v>
      </c>
      <c r="E238" s="116">
        <v>0.2923611111111111</v>
      </c>
      <c r="F238" t="s">
        <v>157</v>
      </c>
      <c r="H238" s="59">
        <f t="shared" si="28"/>
        <v>0.02083333333333337</v>
      </c>
      <c r="I238" s="234">
        <f t="shared" si="29"/>
        <v>0.1840277777777778</v>
      </c>
      <c r="J238" s="234">
        <f t="shared" si="30"/>
        <v>-0.10486111111111113</v>
      </c>
      <c r="K238" s="121">
        <f t="shared" si="31"/>
        <v>0.2888888888888889</v>
      </c>
      <c r="L238" s="233">
        <f t="shared" si="32"/>
        <v>0.20833333333333337</v>
      </c>
      <c r="M238" s="121">
        <f t="shared" si="27"/>
        <v>0.4972222222222223</v>
      </c>
      <c r="N238" s="59">
        <f t="shared" si="33"/>
        <v>6.9333333344426675</v>
      </c>
      <c r="O238" s="59">
        <f t="shared" si="33"/>
        <v>5.000000000800001</v>
      </c>
      <c r="P238" s="101">
        <f>Puissance_en_nominale*Simulation!N238+Puissance_en_economie*Simulation!O238</f>
        <v>443.0014367438482</v>
      </c>
      <c r="Q238" s="101">
        <f t="shared" si="34"/>
        <v>597.8600000956578</v>
      </c>
      <c r="R238" s="128">
        <f t="shared" si="35"/>
        <v>0.25902144871212684</v>
      </c>
    </row>
    <row r="239" spans="1:18" ht="12.75">
      <c r="A239" t="s">
        <v>400</v>
      </c>
      <c r="B239" s="116">
        <v>0.7958333333333334</v>
      </c>
      <c r="C239" s="116">
        <v>0.9791666666666666</v>
      </c>
      <c r="D239" s="116">
        <v>0.1875</v>
      </c>
      <c r="E239" s="116">
        <v>0.2923611111111111</v>
      </c>
      <c r="F239" t="s">
        <v>157</v>
      </c>
      <c r="H239" s="59">
        <f t="shared" si="28"/>
        <v>0.02083333333333337</v>
      </c>
      <c r="I239" s="234">
        <f t="shared" si="29"/>
        <v>0.18333333333333324</v>
      </c>
      <c r="J239" s="234">
        <f t="shared" si="30"/>
        <v>-0.10486111111111113</v>
      </c>
      <c r="K239" s="121">
        <f t="shared" si="31"/>
        <v>0.28819444444444436</v>
      </c>
      <c r="L239" s="233">
        <f t="shared" si="32"/>
        <v>0.20833333333333337</v>
      </c>
      <c r="M239" s="121">
        <f t="shared" si="27"/>
        <v>0.49652777777777773</v>
      </c>
      <c r="N239" s="59">
        <f t="shared" si="33"/>
        <v>6.916666667773332</v>
      </c>
      <c r="O239" s="59">
        <f t="shared" si="33"/>
        <v>5.000000000800001</v>
      </c>
      <c r="P239" s="101">
        <f>Puissance_en_nominale*Simulation!N239+Puissance_en_economie*Simulation!O239</f>
        <v>442.30534033541915</v>
      </c>
      <c r="Q239" s="101">
        <f t="shared" si="34"/>
        <v>597.0250000955241</v>
      </c>
      <c r="R239" s="128">
        <f t="shared" si="35"/>
        <v>0.25915105688262596</v>
      </c>
    </row>
    <row r="240" spans="1:18" ht="12.75">
      <c r="A240" t="s">
        <v>401</v>
      </c>
      <c r="B240" s="116">
        <v>0.7958333333333334</v>
      </c>
      <c r="C240" s="116">
        <v>0.9791666666666666</v>
      </c>
      <c r="D240" s="116">
        <v>0.1875</v>
      </c>
      <c r="E240" s="116">
        <v>0.29305555555555557</v>
      </c>
      <c r="F240" t="s">
        <v>157</v>
      </c>
      <c r="H240" s="59">
        <f t="shared" si="28"/>
        <v>0.02083333333333337</v>
      </c>
      <c r="I240" s="234">
        <f t="shared" si="29"/>
        <v>0.18333333333333324</v>
      </c>
      <c r="J240" s="234">
        <f t="shared" si="30"/>
        <v>-0.10555555555555557</v>
      </c>
      <c r="K240" s="121">
        <f t="shared" si="31"/>
        <v>0.2888888888888888</v>
      </c>
      <c r="L240" s="233">
        <f t="shared" si="32"/>
        <v>0.20833333333333337</v>
      </c>
      <c r="M240" s="121">
        <f t="shared" si="27"/>
        <v>0.4972222222222222</v>
      </c>
      <c r="N240" s="59">
        <f t="shared" si="33"/>
        <v>6.933333334442665</v>
      </c>
      <c r="O240" s="59">
        <f t="shared" si="33"/>
        <v>5.000000000800001</v>
      </c>
      <c r="P240" s="101">
        <f>Puissance_en_nominale*Simulation!N240+Puissance_en_economie*Simulation!O240</f>
        <v>443.0014367438481</v>
      </c>
      <c r="Q240" s="101">
        <f t="shared" si="34"/>
        <v>597.8600000956576</v>
      </c>
      <c r="R240" s="128">
        <f t="shared" si="35"/>
        <v>0.25902144871212684</v>
      </c>
    </row>
    <row r="241" spans="1:18" ht="12.75">
      <c r="A241" t="s">
        <v>402</v>
      </c>
      <c r="B241" s="116">
        <v>0.7965277777777778</v>
      </c>
      <c r="C241" s="116">
        <v>0.9791666666666666</v>
      </c>
      <c r="D241" s="116">
        <v>0.1875</v>
      </c>
      <c r="E241" s="116">
        <v>0.29305555555555557</v>
      </c>
      <c r="F241" t="s">
        <v>157</v>
      </c>
      <c r="H241" s="59">
        <f t="shared" si="28"/>
        <v>0.02083333333333337</v>
      </c>
      <c r="I241" s="234">
        <f t="shared" si="29"/>
        <v>0.1826388888888888</v>
      </c>
      <c r="J241" s="234">
        <f t="shared" si="30"/>
        <v>-0.10555555555555557</v>
      </c>
      <c r="K241" s="121">
        <f t="shared" si="31"/>
        <v>0.28819444444444436</v>
      </c>
      <c r="L241" s="233">
        <f t="shared" si="32"/>
        <v>0.20833333333333337</v>
      </c>
      <c r="M241" s="121">
        <f t="shared" si="27"/>
        <v>0.49652777777777773</v>
      </c>
      <c r="N241" s="59">
        <f t="shared" si="33"/>
        <v>6.916666667773332</v>
      </c>
      <c r="O241" s="59">
        <f t="shared" si="33"/>
        <v>5.000000000800001</v>
      </c>
      <c r="P241" s="101">
        <f>Puissance_en_nominale*Simulation!N241+Puissance_en_economie*Simulation!O241</f>
        <v>442.30534033541915</v>
      </c>
      <c r="Q241" s="101">
        <f t="shared" si="34"/>
        <v>597.0250000955241</v>
      </c>
      <c r="R241" s="128">
        <f t="shared" si="35"/>
        <v>0.25915105688262596</v>
      </c>
    </row>
    <row r="242" spans="1:18" ht="12.75">
      <c r="A242" t="s">
        <v>403</v>
      </c>
      <c r="B242" s="116">
        <v>0.7965277777777778</v>
      </c>
      <c r="C242" s="116">
        <v>0.9791666666666666</v>
      </c>
      <c r="D242" s="116">
        <v>0.1875</v>
      </c>
      <c r="E242" s="116">
        <v>0.3111111111111111</v>
      </c>
      <c r="F242" t="s">
        <v>157</v>
      </c>
      <c r="H242" s="59">
        <f t="shared" si="28"/>
        <v>0.02083333333333337</v>
      </c>
      <c r="I242" s="234">
        <f t="shared" si="29"/>
        <v>0.1826388888888888</v>
      </c>
      <c r="J242" s="234">
        <f t="shared" si="30"/>
        <v>-0.12361111111111112</v>
      </c>
      <c r="K242" s="121">
        <f t="shared" si="31"/>
        <v>0.3062499999999999</v>
      </c>
      <c r="L242" s="233">
        <f t="shared" si="32"/>
        <v>0.20833333333333337</v>
      </c>
      <c r="M242" s="121">
        <f t="shared" si="27"/>
        <v>0.5145833333333333</v>
      </c>
      <c r="N242" s="59">
        <f t="shared" si="33"/>
        <v>7.3500000011759985</v>
      </c>
      <c r="O242" s="59">
        <f t="shared" si="33"/>
        <v>5.000000000800001</v>
      </c>
      <c r="P242" s="101">
        <f>Puissance_en_nominale*Simulation!N242+Puissance_en_economie*Simulation!O242</f>
        <v>460.40384695457203</v>
      </c>
      <c r="Q242" s="101">
        <f t="shared" si="34"/>
        <v>618.7350000989977</v>
      </c>
      <c r="R242" s="128">
        <f t="shared" si="35"/>
        <v>0.25589493582728096</v>
      </c>
    </row>
    <row r="243" spans="1:18" ht="12.75">
      <c r="A243" t="s">
        <v>404</v>
      </c>
      <c r="B243" s="116">
        <v>0.7756944444444445</v>
      </c>
      <c r="C243" s="116">
        <v>0.9583333333333334</v>
      </c>
      <c r="D243" s="116">
        <v>0.20833333333333334</v>
      </c>
      <c r="E243" s="116">
        <v>0.3111111111111111</v>
      </c>
      <c r="F243" t="s">
        <v>180</v>
      </c>
      <c r="H243" s="59">
        <f t="shared" si="28"/>
        <v>0.04166666666666663</v>
      </c>
      <c r="I243" s="234">
        <f t="shared" si="29"/>
        <v>0.1826388888888889</v>
      </c>
      <c r="J243" s="234">
        <f t="shared" si="30"/>
        <v>-0.10277777777777777</v>
      </c>
      <c r="K243" s="121">
        <f t="shared" si="31"/>
        <v>0.28541666666666665</v>
      </c>
      <c r="L243" s="233">
        <f t="shared" si="32"/>
        <v>0.24999999999999997</v>
      </c>
      <c r="M243" s="121">
        <f t="shared" si="27"/>
        <v>0.5354166666666667</v>
      </c>
      <c r="N243" s="59">
        <f t="shared" si="33"/>
        <v>6.850000001096</v>
      </c>
      <c r="O243" s="59">
        <f t="shared" si="33"/>
        <v>6.00000000096</v>
      </c>
      <c r="P243" s="101">
        <f>Puissance_en_nominale*Simulation!N243+Puissance_en_economie*Simulation!O243</f>
        <v>470.2060208691839</v>
      </c>
      <c r="Q243" s="101">
        <f t="shared" si="34"/>
        <v>643.7850001030057</v>
      </c>
      <c r="R243" s="128">
        <f t="shared" si="35"/>
        <v>0.2696225901598347</v>
      </c>
    </row>
    <row r="244" spans="1:18" ht="12.75">
      <c r="A244" t="s">
        <v>405</v>
      </c>
      <c r="B244" s="116">
        <v>0.7763888888888889</v>
      </c>
      <c r="C244" s="116">
        <v>0.9583333333333334</v>
      </c>
      <c r="D244" s="116">
        <v>0.20833333333333334</v>
      </c>
      <c r="E244" s="116">
        <v>0.29444444444444445</v>
      </c>
      <c r="F244" t="s">
        <v>180</v>
      </c>
      <c r="H244" s="59">
        <f t="shared" si="28"/>
        <v>0.04166666666666663</v>
      </c>
      <c r="I244" s="234">
        <f t="shared" si="29"/>
        <v>0.18194444444444446</v>
      </c>
      <c r="J244" s="234">
        <f t="shared" si="30"/>
        <v>-0.08611111111111111</v>
      </c>
      <c r="K244" s="121">
        <f t="shared" si="31"/>
        <v>0.2680555555555556</v>
      </c>
      <c r="L244" s="233">
        <f t="shared" si="32"/>
        <v>0.24999999999999997</v>
      </c>
      <c r="M244" s="121">
        <f t="shared" si="27"/>
        <v>0.5180555555555556</v>
      </c>
      <c r="N244" s="59">
        <f t="shared" si="33"/>
        <v>6.433333334362668</v>
      </c>
      <c r="O244" s="59">
        <f t="shared" si="33"/>
        <v>6.00000000096</v>
      </c>
      <c r="P244" s="101">
        <f>Puissance_en_nominale*Simulation!N244+Puissance_en_economie*Simulation!O244</f>
        <v>452.80361065846</v>
      </c>
      <c r="Q244" s="101">
        <f t="shared" si="34"/>
        <v>622.9100000996658</v>
      </c>
      <c r="R244" s="128">
        <f t="shared" si="35"/>
        <v>0.2730834139987939</v>
      </c>
    </row>
    <row r="245" spans="1:18" ht="12.75">
      <c r="A245" t="s">
        <v>406</v>
      </c>
      <c r="B245" s="116">
        <v>0.7972222222222222</v>
      </c>
      <c r="C245" s="116">
        <v>0.9791666666666666</v>
      </c>
      <c r="D245" s="116">
        <v>0.1875</v>
      </c>
      <c r="E245" s="116">
        <v>0.29444444444444445</v>
      </c>
      <c r="F245" t="s">
        <v>157</v>
      </c>
      <c r="H245" s="59">
        <f t="shared" si="28"/>
        <v>0.02083333333333337</v>
      </c>
      <c r="I245" s="234">
        <f t="shared" si="29"/>
        <v>0.18194444444444446</v>
      </c>
      <c r="J245" s="234">
        <f t="shared" si="30"/>
        <v>-0.10694444444444445</v>
      </c>
      <c r="K245" s="121">
        <f t="shared" si="31"/>
        <v>0.2888888888888889</v>
      </c>
      <c r="L245" s="233">
        <f t="shared" si="32"/>
        <v>0.20833333333333337</v>
      </c>
      <c r="M245" s="121">
        <f t="shared" si="27"/>
        <v>0.4972222222222223</v>
      </c>
      <c r="N245" s="59">
        <f t="shared" si="33"/>
        <v>6.9333333344426675</v>
      </c>
      <c r="O245" s="59">
        <f t="shared" si="33"/>
        <v>5.000000000800001</v>
      </c>
      <c r="P245" s="101">
        <f>Puissance_en_nominale*Simulation!N245+Puissance_en_economie*Simulation!O245</f>
        <v>443.0014367438482</v>
      </c>
      <c r="Q245" s="101">
        <f t="shared" si="34"/>
        <v>597.8600000956578</v>
      </c>
      <c r="R245" s="128">
        <f t="shared" si="35"/>
        <v>0.25902144871212684</v>
      </c>
    </row>
    <row r="246" spans="1:18" ht="12.75">
      <c r="A246" t="s">
        <v>407</v>
      </c>
      <c r="B246" s="116">
        <v>0.7979166666666666</v>
      </c>
      <c r="C246" s="116">
        <v>0.9791666666666666</v>
      </c>
      <c r="D246" s="116">
        <v>0.1875</v>
      </c>
      <c r="E246" s="116">
        <v>0.2951388888888889</v>
      </c>
      <c r="F246" t="s">
        <v>157</v>
      </c>
      <c r="H246" s="59">
        <f t="shared" si="28"/>
        <v>0.02083333333333337</v>
      </c>
      <c r="I246" s="234">
        <f t="shared" si="29"/>
        <v>0.18125000000000002</v>
      </c>
      <c r="J246" s="234">
        <f t="shared" si="30"/>
        <v>-0.1076388888888889</v>
      </c>
      <c r="K246" s="121">
        <f t="shared" si="31"/>
        <v>0.2888888888888889</v>
      </c>
      <c r="L246" s="233">
        <f t="shared" si="32"/>
        <v>0.20833333333333337</v>
      </c>
      <c r="M246" s="121">
        <f t="shared" si="27"/>
        <v>0.4972222222222223</v>
      </c>
      <c r="N246" s="59">
        <f t="shared" si="33"/>
        <v>6.9333333344426675</v>
      </c>
      <c r="O246" s="59">
        <f t="shared" si="33"/>
        <v>5.000000000800001</v>
      </c>
      <c r="P246" s="101">
        <f>Puissance_en_nominale*Simulation!N246+Puissance_en_economie*Simulation!O246</f>
        <v>443.0014367438482</v>
      </c>
      <c r="Q246" s="101">
        <f t="shared" si="34"/>
        <v>597.8600000956578</v>
      </c>
      <c r="R246" s="128">
        <f t="shared" si="35"/>
        <v>0.25902144871212684</v>
      </c>
    </row>
    <row r="247" spans="1:18" ht="12.75">
      <c r="A247" t="s">
        <v>408</v>
      </c>
      <c r="B247" s="116">
        <v>0.7979166666666666</v>
      </c>
      <c r="C247" s="116">
        <v>0.9791666666666666</v>
      </c>
      <c r="D247" s="116">
        <v>0.1875</v>
      </c>
      <c r="E247" s="116">
        <v>0.2951388888888889</v>
      </c>
      <c r="F247" t="s">
        <v>157</v>
      </c>
      <c r="H247" s="59">
        <f t="shared" si="28"/>
        <v>0.02083333333333337</v>
      </c>
      <c r="I247" s="234">
        <f t="shared" si="29"/>
        <v>0.18125000000000002</v>
      </c>
      <c r="J247" s="234">
        <f t="shared" si="30"/>
        <v>-0.1076388888888889</v>
      </c>
      <c r="K247" s="121">
        <f t="shared" si="31"/>
        <v>0.2888888888888889</v>
      </c>
      <c r="L247" s="233">
        <f t="shared" si="32"/>
        <v>0.20833333333333337</v>
      </c>
      <c r="M247" s="121">
        <f t="shared" si="27"/>
        <v>0.4972222222222223</v>
      </c>
      <c r="N247" s="59">
        <f t="shared" si="33"/>
        <v>6.9333333344426675</v>
      </c>
      <c r="O247" s="59">
        <f t="shared" si="33"/>
        <v>5.000000000800001</v>
      </c>
      <c r="P247" s="101">
        <f>Puissance_en_nominale*Simulation!N247+Puissance_en_economie*Simulation!O247</f>
        <v>443.0014367438482</v>
      </c>
      <c r="Q247" s="101">
        <f t="shared" si="34"/>
        <v>597.8600000956578</v>
      </c>
      <c r="R247" s="128">
        <f t="shared" si="35"/>
        <v>0.25902144871212684</v>
      </c>
    </row>
    <row r="248" spans="1:18" ht="12.75">
      <c r="A248" t="s">
        <v>409</v>
      </c>
      <c r="B248" s="116">
        <v>0.7986111111111112</v>
      </c>
      <c r="C248" s="116">
        <v>0.9791666666666666</v>
      </c>
      <c r="D248" s="116">
        <v>0.1875</v>
      </c>
      <c r="E248" s="116">
        <v>0.2951388888888889</v>
      </c>
      <c r="F248" t="s">
        <v>157</v>
      </c>
      <c r="H248" s="59">
        <f t="shared" si="28"/>
        <v>0.02083333333333337</v>
      </c>
      <c r="I248" s="234">
        <f t="shared" si="29"/>
        <v>0.18055555555555547</v>
      </c>
      <c r="J248" s="234">
        <f t="shared" si="30"/>
        <v>-0.1076388888888889</v>
      </c>
      <c r="K248" s="121">
        <f t="shared" si="31"/>
        <v>0.28819444444444436</v>
      </c>
      <c r="L248" s="233">
        <f t="shared" si="32"/>
        <v>0.20833333333333337</v>
      </c>
      <c r="M248" s="121">
        <f t="shared" si="27"/>
        <v>0.49652777777777773</v>
      </c>
      <c r="N248" s="59">
        <f t="shared" si="33"/>
        <v>6.916666667773332</v>
      </c>
      <c r="O248" s="59">
        <f t="shared" si="33"/>
        <v>5.000000000800001</v>
      </c>
      <c r="P248" s="101">
        <f>Puissance_en_nominale*Simulation!N248+Puissance_en_economie*Simulation!O248</f>
        <v>442.30534033541915</v>
      </c>
      <c r="Q248" s="101">
        <f t="shared" si="34"/>
        <v>597.0250000955241</v>
      </c>
      <c r="R248" s="128">
        <f t="shared" si="35"/>
        <v>0.25915105688262596</v>
      </c>
    </row>
    <row r="249" spans="1:18" ht="12.75">
      <c r="A249" t="s">
        <v>410</v>
      </c>
      <c r="B249" s="116">
        <v>0.7986111111111112</v>
      </c>
      <c r="C249" s="116">
        <v>0.9791666666666666</v>
      </c>
      <c r="D249" s="116">
        <v>0.1875</v>
      </c>
      <c r="E249" s="116">
        <v>0.31319444444444444</v>
      </c>
      <c r="F249" t="s">
        <v>157</v>
      </c>
      <c r="H249" s="59">
        <f t="shared" si="28"/>
        <v>0.02083333333333337</v>
      </c>
      <c r="I249" s="234">
        <f t="shared" si="29"/>
        <v>0.18055555555555547</v>
      </c>
      <c r="J249" s="234">
        <f t="shared" si="30"/>
        <v>-0.12569444444444444</v>
      </c>
      <c r="K249" s="121">
        <f t="shared" si="31"/>
        <v>0.3062499999999999</v>
      </c>
      <c r="L249" s="233">
        <f t="shared" si="32"/>
        <v>0.20833333333333337</v>
      </c>
      <c r="M249" s="121">
        <f t="shared" si="27"/>
        <v>0.5145833333333333</v>
      </c>
      <c r="N249" s="59">
        <f t="shared" si="33"/>
        <v>7.3500000011759985</v>
      </c>
      <c r="O249" s="59">
        <f t="shared" si="33"/>
        <v>5.000000000800001</v>
      </c>
      <c r="P249" s="101">
        <f>Puissance_en_nominale*Simulation!N249+Puissance_en_economie*Simulation!O249</f>
        <v>460.40384695457203</v>
      </c>
      <c r="Q249" s="101">
        <f t="shared" si="34"/>
        <v>618.7350000989977</v>
      </c>
      <c r="R249" s="128">
        <f t="shared" si="35"/>
        <v>0.25589493582728096</v>
      </c>
    </row>
    <row r="250" spans="1:18" ht="12.75">
      <c r="A250" t="s">
        <v>411</v>
      </c>
      <c r="B250" s="116">
        <v>0.7777777777777778</v>
      </c>
      <c r="C250" s="116">
        <v>0.9583333333333334</v>
      </c>
      <c r="D250" s="116">
        <v>0.20833333333333334</v>
      </c>
      <c r="E250" s="116">
        <v>0.31319444444444444</v>
      </c>
      <c r="F250" t="s">
        <v>180</v>
      </c>
      <c r="H250" s="59">
        <f t="shared" si="28"/>
        <v>0.04166666666666663</v>
      </c>
      <c r="I250" s="234">
        <f t="shared" si="29"/>
        <v>0.18055555555555558</v>
      </c>
      <c r="J250" s="234">
        <f t="shared" si="30"/>
        <v>-0.1048611111111111</v>
      </c>
      <c r="K250" s="121">
        <f t="shared" si="31"/>
        <v>0.28541666666666665</v>
      </c>
      <c r="L250" s="233">
        <f t="shared" si="32"/>
        <v>0.24999999999999997</v>
      </c>
      <c r="M250" s="121">
        <f t="shared" si="27"/>
        <v>0.5354166666666667</v>
      </c>
      <c r="N250" s="59">
        <f t="shared" si="33"/>
        <v>6.850000001096</v>
      </c>
      <c r="O250" s="59">
        <f t="shared" si="33"/>
        <v>6.00000000096</v>
      </c>
      <c r="P250" s="101">
        <f>Puissance_en_nominale*Simulation!N250+Puissance_en_economie*Simulation!O250</f>
        <v>470.2060208691839</v>
      </c>
      <c r="Q250" s="101">
        <f t="shared" si="34"/>
        <v>643.7850001030057</v>
      </c>
      <c r="R250" s="128">
        <f t="shared" si="35"/>
        <v>0.2696225901598347</v>
      </c>
    </row>
    <row r="251" spans="1:18" ht="12.75">
      <c r="A251" t="s">
        <v>412</v>
      </c>
      <c r="B251" s="116">
        <v>0.7784722222222222</v>
      </c>
      <c r="C251" s="116">
        <v>0.9583333333333334</v>
      </c>
      <c r="D251" s="116">
        <v>0.20833333333333334</v>
      </c>
      <c r="E251" s="116">
        <v>0.2965277777777778</v>
      </c>
      <c r="F251" t="s">
        <v>180</v>
      </c>
      <c r="H251" s="59">
        <f t="shared" si="28"/>
        <v>0.04166666666666663</v>
      </c>
      <c r="I251" s="234">
        <f t="shared" si="29"/>
        <v>0.17986111111111114</v>
      </c>
      <c r="J251" s="234">
        <f t="shared" si="30"/>
        <v>-0.08819444444444444</v>
      </c>
      <c r="K251" s="121">
        <f t="shared" si="31"/>
        <v>0.2680555555555556</v>
      </c>
      <c r="L251" s="233">
        <f t="shared" si="32"/>
        <v>0.24999999999999997</v>
      </c>
      <c r="M251" s="121">
        <f t="shared" si="27"/>
        <v>0.5180555555555556</v>
      </c>
      <c r="N251" s="59">
        <f t="shared" si="33"/>
        <v>6.433333334362668</v>
      </c>
      <c r="O251" s="59">
        <f t="shared" si="33"/>
        <v>6.00000000096</v>
      </c>
      <c r="P251" s="101">
        <f>Puissance_en_nominale*Simulation!N251+Puissance_en_economie*Simulation!O251</f>
        <v>452.80361065846</v>
      </c>
      <c r="Q251" s="101">
        <f t="shared" si="34"/>
        <v>622.9100000996658</v>
      </c>
      <c r="R251" s="128">
        <f t="shared" si="35"/>
        <v>0.2730834139987939</v>
      </c>
    </row>
    <row r="252" spans="1:18" ht="12.75">
      <c r="A252" t="s">
        <v>413</v>
      </c>
      <c r="B252" s="116">
        <v>0.7993055555555556</v>
      </c>
      <c r="C252" s="116">
        <v>0.9791666666666666</v>
      </c>
      <c r="D252" s="116">
        <v>0.1875</v>
      </c>
      <c r="E252" s="116">
        <v>0.2965277777777778</v>
      </c>
      <c r="F252" t="s">
        <v>157</v>
      </c>
      <c r="H252" s="59">
        <f t="shared" si="28"/>
        <v>0.02083333333333337</v>
      </c>
      <c r="I252" s="234">
        <f t="shared" si="29"/>
        <v>0.17986111111111103</v>
      </c>
      <c r="J252" s="234">
        <f t="shared" si="30"/>
        <v>-0.10902777777777778</v>
      </c>
      <c r="K252" s="121">
        <f t="shared" si="31"/>
        <v>0.2888888888888888</v>
      </c>
      <c r="L252" s="233">
        <f t="shared" si="32"/>
        <v>0.20833333333333337</v>
      </c>
      <c r="M252" s="121">
        <f t="shared" si="27"/>
        <v>0.4972222222222222</v>
      </c>
      <c r="N252" s="59">
        <f t="shared" si="33"/>
        <v>6.933333334442665</v>
      </c>
      <c r="O252" s="59">
        <f t="shared" si="33"/>
        <v>5.000000000800001</v>
      </c>
      <c r="P252" s="101">
        <f>Puissance_en_nominale*Simulation!N252+Puissance_en_economie*Simulation!O252</f>
        <v>443.0014367438481</v>
      </c>
      <c r="Q252" s="101">
        <f t="shared" si="34"/>
        <v>597.8600000956576</v>
      </c>
      <c r="R252" s="128">
        <f t="shared" si="35"/>
        <v>0.25902144871212684</v>
      </c>
    </row>
    <row r="253" spans="1:18" ht="12.75">
      <c r="A253" t="s">
        <v>414</v>
      </c>
      <c r="B253" s="116">
        <v>0.7993055555555556</v>
      </c>
      <c r="C253" s="116">
        <v>0.9791666666666666</v>
      </c>
      <c r="D253" s="116">
        <v>0.1875</v>
      </c>
      <c r="E253" s="116">
        <v>0.2965277777777778</v>
      </c>
      <c r="F253" t="s">
        <v>157</v>
      </c>
      <c r="H253" s="59">
        <f t="shared" si="28"/>
        <v>0.02083333333333337</v>
      </c>
      <c r="I253" s="234">
        <f t="shared" si="29"/>
        <v>0.17986111111111103</v>
      </c>
      <c r="J253" s="234">
        <f t="shared" si="30"/>
        <v>-0.10902777777777778</v>
      </c>
      <c r="K253" s="121">
        <f t="shared" si="31"/>
        <v>0.2888888888888888</v>
      </c>
      <c r="L253" s="233">
        <f t="shared" si="32"/>
        <v>0.20833333333333337</v>
      </c>
      <c r="M253" s="121">
        <f t="shared" si="27"/>
        <v>0.4972222222222222</v>
      </c>
      <c r="N253" s="59">
        <f t="shared" si="33"/>
        <v>6.933333334442665</v>
      </c>
      <c r="O253" s="59">
        <f t="shared" si="33"/>
        <v>5.000000000800001</v>
      </c>
      <c r="P253" s="101">
        <f>Puissance_en_nominale*Simulation!N253+Puissance_en_economie*Simulation!O253</f>
        <v>443.0014367438481</v>
      </c>
      <c r="Q253" s="101">
        <f t="shared" si="34"/>
        <v>597.8600000956576</v>
      </c>
      <c r="R253" s="128">
        <f t="shared" si="35"/>
        <v>0.25902144871212684</v>
      </c>
    </row>
    <row r="254" spans="1:18" ht="12.75">
      <c r="A254" t="s">
        <v>415</v>
      </c>
      <c r="B254" s="116">
        <v>0.8</v>
      </c>
      <c r="C254" s="116">
        <v>0.9791666666666666</v>
      </c>
      <c r="D254" s="116">
        <v>0.1875</v>
      </c>
      <c r="E254" s="116">
        <v>0.2972222222222222</v>
      </c>
      <c r="F254" t="s">
        <v>157</v>
      </c>
      <c r="H254" s="59">
        <f t="shared" si="28"/>
        <v>0.02083333333333337</v>
      </c>
      <c r="I254" s="234">
        <f t="shared" si="29"/>
        <v>0.17916666666666659</v>
      </c>
      <c r="J254" s="234">
        <f t="shared" si="30"/>
        <v>-0.10972222222222222</v>
      </c>
      <c r="K254" s="121">
        <f t="shared" si="31"/>
        <v>0.2888888888888888</v>
      </c>
      <c r="L254" s="233">
        <f t="shared" si="32"/>
        <v>0.20833333333333337</v>
      </c>
      <c r="M254" s="121">
        <f t="shared" si="27"/>
        <v>0.4972222222222222</v>
      </c>
      <c r="N254" s="59">
        <f t="shared" si="33"/>
        <v>6.933333334442665</v>
      </c>
      <c r="O254" s="59">
        <f t="shared" si="33"/>
        <v>5.000000000800001</v>
      </c>
      <c r="P254" s="101">
        <f>Puissance_en_nominale*Simulation!N254+Puissance_en_economie*Simulation!O254</f>
        <v>443.0014367438481</v>
      </c>
      <c r="Q254" s="101">
        <f t="shared" si="34"/>
        <v>597.8600000956576</v>
      </c>
      <c r="R254" s="128">
        <f t="shared" si="35"/>
        <v>0.25902144871212684</v>
      </c>
    </row>
    <row r="255" spans="1:18" ht="12.75">
      <c r="A255" t="s">
        <v>416</v>
      </c>
      <c r="B255" s="116">
        <v>0.8</v>
      </c>
      <c r="C255" s="116">
        <v>0.9791666666666666</v>
      </c>
      <c r="D255" s="116">
        <v>0.1875</v>
      </c>
      <c r="E255" s="116">
        <v>0.2972222222222222</v>
      </c>
      <c r="F255" t="s">
        <v>157</v>
      </c>
      <c r="H255" s="59">
        <f t="shared" si="28"/>
        <v>0.02083333333333337</v>
      </c>
      <c r="I255" s="234">
        <f t="shared" si="29"/>
        <v>0.17916666666666659</v>
      </c>
      <c r="J255" s="234">
        <f t="shared" si="30"/>
        <v>-0.10972222222222222</v>
      </c>
      <c r="K255" s="121">
        <f t="shared" si="31"/>
        <v>0.2888888888888888</v>
      </c>
      <c r="L255" s="233">
        <f t="shared" si="32"/>
        <v>0.20833333333333337</v>
      </c>
      <c r="M255" s="121">
        <f t="shared" si="27"/>
        <v>0.4972222222222222</v>
      </c>
      <c r="N255" s="59">
        <f t="shared" si="33"/>
        <v>6.933333334442665</v>
      </c>
      <c r="O255" s="59">
        <f t="shared" si="33"/>
        <v>5.000000000800001</v>
      </c>
      <c r="P255" s="101">
        <f>Puissance_en_nominale*Simulation!N255+Puissance_en_economie*Simulation!O255</f>
        <v>443.0014367438481</v>
      </c>
      <c r="Q255" s="101">
        <f t="shared" si="34"/>
        <v>597.8600000956576</v>
      </c>
      <c r="R255" s="128">
        <f t="shared" si="35"/>
        <v>0.25902144871212684</v>
      </c>
    </row>
    <row r="256" spans="1:18" ht="12.75">
      <c r="A256" t="s">
        <v>417</v>
      </c>
      <c r="B256" s="116">
        <v>0.8</v>
      </c>
      <c r="C256" s="116">
        <v>0.9791666666666666</v>
      </c>
      <c r="D256" s="116">
        <v>0.1875</v>
      </c>
      <c r="E256" s="116">
        <v>0.3145833333333333</v>
      </c>
      <c r="F256" t="s">
        <v>157</v>
      </c>
      <c r="H256" s="59">
        <f t="shared" si="28"/>
        <v>0.02083333333333337</v>
      </c>
      <c r="I256" s="234">
        <f t="shared" si="29"/>
        <v>0.17916666666666659</v>
      </c>
      <c r="J256" s="234">
        <f t="shared" si="30"/>
        <v>-0.12708333333333333</v>
      </c>
      <c r="K256" s="121">
        <f t="shared" si="31"/>
        <v>0.3062499999999999</v>
      </c>
      <c r="L256" s="233">
        <f t="shared" si="32"/>
        <v>0.20833333333333337</v>
      </c>
      <c r="M256" s="121">
        <f t="shared" si="27"/>
        <v>0.5145833333333333</v>
      </c>
      <c r="N256" s="59">
        <f t="shared" si="33"/>
        <v>7.3500000011759985</v>
      </c>
      <c r="O256" s="59">
        <f t="shared" si="33"/>
        <v>5.000000000800001</v>
      </c>
      <c r="P256" s="101">
        <f>Puissance_en_nominale*Simulation!N256+Puissance_en_economie*Simulation!O256</f>
        <v>460.40384695457203</v>
      </c>
      <c r="Q256" s="101">
        <f t="shared" si="34"/>
        <v>618.7350000989977</v>
      </c>
      <c r="R256" s="128">
        <f t="shared" si="35"/>
        <v>0.25589493582728096</v>
      </c>
    </row>
    <row r="257" spans="1:18" ht="12.75">
      <c r="A257" t="s">
        <v>418</v>
      </c>
      <c r="B257" s="116">
        <v>0.779861111111111</v>
      </c>
      <c r="C257" s="116">
        <v>0.9583333333333334</v>
      </c>
      <c r="D257" s="116">
        <v>0.20833333333333334</v>
      </c>
      <c r="E257" s="116">
        <v>0.31527777777777777</v>
      </c>
      <c r="F257" t="s">
        <v>180</v>
      </c>
      <c r="H257" s="59">
        <f t="shared" si="28"/>
        <v>0.04166666666666663</v>
      </c>
      <c r="I257" s="234">
        <f t="shared" si="29"/>
        <v>0.17847222222222237</v>
      </c>
      <c r="J257" s="234">
        <f t="shared" si="30"/>
        <v>-0.10694444444444443</v>
      </c>
      <c r="K257" s="121">
        <f t="shared" si="31"/>
        <v>0.28541666666666676</v>
      </c>
      <c r="L257" s="233">
        <f t="shared" si="32"/>
        <v>0.24999999999999997</v>
      </c>
      <c r="M257" s="121">
        <f t="shared" si="27"/>
        <v>0.5354166666666668</v>
      </c>
      <c r="N257" s="59">
        <f t="shared" si="33"/>
        <v>6.850000001096003</v>
      </c>
      <c r="O257" s="59">
        <f t="shared" si="33"/>
        <v>6.00000000096</v>
      </c>
      <c r="P257" s="101">
        <f>Puissance_en_nominale*Simulation!N257+Puissance_en_economie*Simulation!O257</f>
        <v>470.206020869184</v>
      </c>
      <c r="Q257" s="101">
        <f t="shared" si="34"/>
        <v>643.7850001030058</v>
      </c>
      <c r="R257" s="128">
        <f t="shared" si="35"/>
        <v>0.2696225901598346</v>
      </c>
    </row>
    <row r="258" spans="1:18" ht="12.75">
      <c r="A258" t="s">
        <v>419</v>
      </c>
      <c r="B258" s="116">
        <v>0.779861111111111</v>
      </c>
      <c r="C258" s="116">
        <v>0.9583333333333334</v>
      </c>
      <c r="D258" s="116">
        <v>0.20833333333333334</v>
      </c>
      <c r="E258" s="116">
        <v>0.29791666666666666</v>
      </c>
      <c r="F258" t="s">
        <v>180</v>
      </c>
      <c r="H258" s="59">
        <f t="shared" si="28"/>
        <v>0.04166666666666663</v>
      </c>
      <c r="I258" s="234">
        <f t="shared" si="29"/>
        <v>0.17847222222222237</v>
      </c>
      <c r="J258" s="234">
        <f t="shared" si="30"/>
        <v>-0.08958333333333332</v>
      </c>
      <c r="K258" s="121">
        <f t="shared" si="31"/>
        <v>0.2680555555555557</v>
      </c>
      <c r="L258" s="233">
        <f t="shared" si="32"/>
        <v>0.24999999999999997</v>
      </c>
      <c r="M258" s="121">
        <f t="shared" si="27"/>
        <v>0.5180555555555557</v>
      </c>
      <c r="N258" s="59">
        <f t="shared" si="33"/>
        <v>6.433333334362671</v>
      </c>
      <c r="O258" s="59">
        <f t="shared" si="33"/>
        <v>6.00000000096</v>
      </c>
      <c r="P258" s="101">
        <f>Puissance_en_nominale*Simulation!N258+Puissance_en_economie*Simulation!O258</f>
        <v>452.8036106584601</v>
      </c>
      <c r="Q258" s="101">
        <f t="shared" si="34"/>
        <v>622.9100000996659</v>
      </c>
      <c r="R258" s="128">
        <f t="shared" si="35"/>
        <v>0.2730834139987939</v>
      </c>
    </row>
    <row r="259" spans="1:18" ht="12.75">
      <c r="A259" t="s">
        <v>420</v>
      </c>
      <c r="B259" s="116">
        <v>0.8006944444444444</v>
      </c>
      <c r="C259" s="116">
        <v>0.9791666666666666</v>
      </c>
      <c r="D259" s="116">
        <v>0.1875</v>
      </c>
      <c r="E259" s="116">
        <v>0.29791666666666666</v>
      </c>
      <c r="F259" t="s">
        <v>157</v>
      </c>
      <c r="H259" s="59">
        <f t="shared" si="28"/>
        <v>0.02083333333333337</v>
      </c>
      <c r="I259" s="234">
        <f t="shared" si="29"/>
        <v>0.17847222222222225</v>
      </c>
      <c r="J259" s="234">
        <f t="shared" si="30"/>
        <v>-0.11041666666666666</v>
      </c>
      <c r="K259" s="121">
        <f t="shared" si="31"/>
        <v>0.2888888888888889</v>
      </c>
      <c r="L259" s="233">
        <f t="shared" si="32"/>
        <v>0.20833333333333337</v>
      </c>
      <c r="M259" s="121">
        <f t="shared" si="27"/>
        <v>0.4972222222222223</v>
      </c>
      <c r="N259" s="59">
        <f t="shared" si="33"/>
        <v>6.9333333344426675</v>
      </c>
      <c r="O259" s="59">
        <f t="shared" si="33"/>
        <v>5.000000000800001</v>
      </c>
      <c r="P259" s="101">
        <f>Puissance_en_nominale*Simulation!N259+Puissance_en_economie*Simulation!O259</f>
        <v>443.0014367438482</v>
      </c>
      <c r="Q259" s="101">
        <f t="shared" si="34"/>
        <v>597.8600000956578</v>
      </c>
      <c r="R259" s="128">
        <f t="shared" si="35"/>
        <v>0.25902144871212684</v>
      </c>
    </row>
    <row r="260" spans="1:18" ht="12.75">
      <c r="A260" t="s">
        <v>421</v>
      </c>
      <c r="B260" s="116">
        <v>0.8013888888888889</v>
      </c>
      <c r="C260" s="116">
        <v>0.9791666666666666</v>
      </c>
      <c r="D260" s="116">
        <v>0.1875</v>
      </c>
      <c r="E260" s="116">
        <v>0.29791666666666666</v>
      </c>
      <c r="F260" t="s">
        <v>157</v>
      </c>
      <c r="H260" s="59">
        <f t="shared" si="28"/>
        <v>0.02083333333333337</v>
      </c>
      <c r="I260" s="234">
        <f t="shared" si="29"/>
        <v>0.1777777777777777</v>
      </c>
      <c r="J260" s="234">
        <f t="shared" si="30"/>
        <v>-0.11041666666666666</v>
      </c>
      <c r="K260" s="121">
        <f t="shared" si="31"/>
        <v>0.28819444444444436</v>
      </c>
      <c r="L260" s="233">
        <f t="shared" si="32"/>
        <v>0.20833333333333337</v>
      </c>
      <c r="M260" s="121">
        <f t="shared" si="27"/>
        <v>0.49652777777777773</v>
      </c>
      <c r="N260" s="59">
        <f t="shared" si="33"/>
        <v>6.916666667773332</v>
      </c>
      <c r="O260" s="59">
        <f t="shared" si="33"/>
        <v>5.000000000800001</v>
      </c>
      <c r="P260" s="101">
        <f>Puissance_en_nominale*Simulation!N260+Puissance_en_economie*Simulation!O260</f>
        <v>442.30534033541915</v>
      </c>
      <c r="Q260" s="101">
        <f t="shared" si="34"/>
        <v>597.0250000955241</v>
      </c>
      <c r="R260" s="128">
        <f t="shared" si="35"/>
        <v>0.25915105688262596</v>
      </c>
    </row>
    <row r="261" spans="1:18" ht="12.75">
      <c r="A261" t="s">
        <v>422</v>
      </c>
      <c r="B261" s="116">
        <v>0.8013888888888889</v>
      </c>
      <c r="C261" s="116">
        <v>0.9791666666666666</v>
      </c>
      <c r="D261" s="116">
        <v>0.1875</v>
      </c>
      <c r="E261" s="116">
        <v>0.2986111111111111</v>
      </c>
      <c r="F261" t="s">
        <v>157</v>
      </c>
      <c r="H261" s="59">
        <f t="shared" si="28"/>
        <v>0.02083333333333337</v>
      </c>
      <c r="I261" s="234">
        <f t="shared" si="29"/>
        <v>0.1777777777777777</v>
      </c>
      <c r="J261" s="234">
        <f t="shared" si="30"/>
        <v>-0.1111111111111111</v>
      </c>
      <c r="K261" s="121">
        <f t="shared" si="31"/>
        <v>0.2888888888888888</v>
      </c>
      <c r="L261" s="233">
        <f t="shared" si="32"/>
        <v>0.20833333333333337</v>
      </c>
      <c r="M261" s="121">
        <f t="shared" si="27"/>
        <v>0.4972222222222222</v>
      </c>
      <c r="N261" s="59">
        <f t="shared" si="33"/>
        <v>6.933333334442665</v>
      </c>
      <c r="O261" s="59">
        <f t="shared" si="33"/>
        <v>5.000000000800001</v>
      </c>
      <c r="P261" s="101">
        <f>Puissance_en_nominale*Simulation!N261+Puissance_en_economie*Simulation!O261</f>
        <v>443.0014367438481</v>
      </c>
      <c r="Q261" s="101">
        <f t="shared" si="34"/>
        <v>597.8600000956576</v>
      </c>
      <c r="R261" s="128">
        <f t="shared" si="35"/>
        <v>0.25902144871212684</v>
      </c>
    </row>
    <row r="262" spans="1:18" ht="12.75">
      <c r="A262" t="s">
        <v>423</v>
      </c>
      <c r="B262" s="116">
        <v>0.8013888888888889</v>
      </c>
      <c r="C262" s="116">
        <v>0.9791666666666666</v>
      </c>
      <c r="D262" s="116">
        <v>0.1875</v>
      </c>
      <c r="E262" s="116">
        <v>0.2986111111111111</v>
      </c>
      <c r="F262" t="s">
        <v>157</v>
      </c>
      <c r="H262" s="59">
        <f t="shared" si="28"/>
        <v>0.02083333333333337</v>
      </c>
      <c r="I262" s="234">
        <f t="shared" si="29"/>
        <v>0.1777777777777777</v>
      </c>
      <c r="J262" s="234">
        <f t="shared" si="30"/>
        <v>-0.1111111111111111</v>
      </c>
      <c r="K262" s="121">
        <f t="shared" si="31"/>
        <v>0.2888888888888888</v>
      </c>
      <c r="L262" s="233">
        <f t="shared" si="32"/>
        <v>0.20833333333333337</v>
      </c>
      <c r="M262" s="121">
        <f t="shared" si="27"/>
        <v>0.4972222222222222</v>
      </c>
      <c r="N262" s="59">
        <f t="shared" si="33"/>
        <v>6.933333334442665</v>
      </c>
      <c r="O262" s="59">
        <f t="shared" si="33"/>
        <v>5.000000000800001</v>
      </c>
      <c r="P262" s="101">
        <f>Puissance_en_nominale*Simulation!N262+Puissance_en_economie*Simulation!O262</f>
        <v>443.0014367438481</v>
      </c>
      <c r="Q262" s="101">
        <f t="shared" si="34"/>
        <v>597.8600000956576</v>
      </c>
      <c r="R262" s="128">
        <f t="shared" si="35"/>
        <v>0.25902144871212684</v>
      </c>
    </row>
    <row r="263" spans="1:18" ht="12.75">
      <c r="A263" t="s">
        <v>424</v>
      </c>
      <c r="B263" s="116">
        <v>0.8013888888888889</v>
      </c>
      <c r="C263" s="116">
        <v>0.9791666666666666</v>
      </c>
      <c r="D263" s="116">
        <v>0.1875</v>
      </c>
      <c r="E263" s="116">
        <v>0.3159722222222222</v>
      </c>
      <c r="F263" t="s">
        <v>157</v>
      </c>
      <c r="H263" s="59">
        <f t="shared" si="28"/>
        <v>0.02083333333333337</v>
      </c>
      <c r="I263" s="234">
        <f t="shared" si="29"/>
        <v>0.1777777777777777</v>
      </c>
      <c r="J263" s="234">
        <f t="shared" si="30"/>
        <v>-0.1284722222222222</v>
      </c>
      <c r="K263" s="121">
        <f t="shared" si="31"/>
        <v>0.3062499999999999</v>
      </c>
      <c r="L263" s="233">
        <f t="shared" si="32"/>
        <v>0.20833333333333337</v>
      </c>
      <c r="M263" s="121">
        <f t="shared" si="27"/>
        <v>0.5145833333333333</v>
      </c>
      <c r="N263" s="59">
        <f t="shared" si="33"/>
        <v>7.3500000011759985</v>
      </c>
      <c r="O263" s="59">
        <f t="shared" si="33"/>
        <v>5.000000000800001</v>
      </c>
      <c r="P263" s="101">
        <f>Puissance_en_nominale*Simulation!N263+Puissance_en_economie*Simulation!O263</f>
        <v>460.40384695457203</v>
      </c>
      <c r="Q263" s="101">
        <f t="shared" si="34"/>
        <v>618.7350000989977</v>
      </c>
      <c r="R263" s="128">
        <f t="shared" si="35"/>
        <v>0.25589493582728096</v>
      </c>
    </row>
    <row r="264" spans="1:18" ht="12.75">
      <c r="A264" t="s">
        <v>425</v>
      </c>
      <c r="B264" s="116">
        <v>0.78125</v>
      </c>
      <c r="C264" s="116">
        <v>0.9583333333333334</v>
      </c>
      <c r="D264" s="116">
        <v>0.20833333333333334</v>
      </c>
      <c r="E264" s="116">
        <v>0.3159722222222222</v>
      </c>
      <c r="F264" t="s">
        <v>180</v>
      </c>
      <c r="H264" s="59">
        <f t="shared" si="28"/>
        <v>0.04166666666666663</v>
      </c>
      <c r="I264" s="234">
        <f t="shared" si="29"/>
        <v>0.17708333333333337</v>
      </c>
      <c r="J264" s="234">
        <f t="shared" si="30"/>
        <v>-0.10763888888888887</v>
      </c>
      <c r="K264" s="121">
        <f t="shared" si="31"/>
        <v>0.2847222222222222</v>
      </c>
      <c r="L264" s="233">
        <f t="shared" si="32"/>
        <v>0.24999999999999997</v>
      </c>
      <c r="M264" s="121">
        <f t="shared" si="27"/>
        <v>0.5347222222222222</v>
      </c>
      <c r="N264" s="59">
        <f t="shared" si="33"/>
        <v>6.8333333344266665</v>
      </c>
      <c r="O264" s="59">
        <f t="shared" si="33"/>
        <v>6.00000000096</v>
      </c>
      <c r="P264" s="101">
        <f>Puissance_en_nominale*Simulation!N264+Puissance_en_economie*Simulation!O264</f>
        <v>469.50992446075486</v>
      </c>
      <c r="Q264" s="101">
        <f t="shared" si="34"/>
        <v>642.9500001028721</v>
      </c>
      <c r="R264" s="128">
        <f t="shared" si="35"/>
        <v>0.2697567083200354</v>
      </c>
    </row>
    <row r="265" spans="1:18" ht="12.75">
      <c r="A265" t="s">
        <v>426</v>
      </c>
      <c r="B265" s="116">
        <v>0.78125</v>
      </c>
      <c r="C265" s="116">
        <v>0.9583333333333334</v>
      </c>
      <c r="D265" s="116">
        <v>0.20833333333333334</v>
      </c>
      <c r="E265" s="116">
        <v>0.29930555555555555</v>
      </c>
      <c r="F265" t="s">
        <v>180</v>
      </c>
      <c r="H265" s="59">
        <f t="shared" si="28"/>
        <v>0.04166666666666663</v>
      </c>
      <c r="I265" s="234">
        <f t="shared" si="29"/>
        <v>0.17708333333333337</v>
      </c>
      <c r="J265" s="234">
        <f t="shared" si="30"/>
        <v>-0.0909722222222222</v>
      </c>
      <c r="K265" s="121">
        <f t="shared" si="31"/>
        <v>0.2680555555555556</v>
      </c>
      <c r="L265" s="233">
        <f t="shared" si="32"/>
        <v>0.24999999999999997</v>
      </c>
      <c r="M265" s="121">
        <f t="shared" si="27"/>
        <v>0.5180555555555556</v>
      </c>
      <c r="N265" s="59">
        <f t="shared" si="33"/>
        <v>6.433333334362668</v>
      </c>
      <c r="O265" s="59">
        <f t="shared" si="33"/>
        <v>6.00000000096</v>
      </c>
      <c r="P265" s="101">
        <f>Puissance_en_nominale*Simulation!N265+Puissance_en_economie*Simulation!O265</f>
        <v>452.80361065846</v>
      </c>
      <c r="Q265" s="101">
        <f t="shared" si="34"/>
        <v>622.9100000996658</v>
      </c>
      <c r="R265" s="128">
        <f t="shared" si="35"/>
        <v>0.2730834139987939</v>
      </c>
    </row>
    <row r="266" spans="1:18" ht="12.75">
      <c r="A266" t="s">
        <v>427</v>
      </c>
      <c r="B266" s="116">
        <v>0.8020833333333334</v>
      </c>
      <c r="C266" s="116">
        <v>0.9791666666666666</v>
      </c>
      <c r="D266" s="116">
        <v>0.1875</v>
      </c>
      <c r="E266" s="116">
        <v>0.29930555555555555</v>
      </c>
      <c r="F266" t="s">
        <v>157</v>
      </c>
      <c r="H266" s="59">
        <f t="shared" si="28"/>
        <v>0.02083333333333337</v>
      </c>
      <c r="I266" s="234">
        <f t="shared" si="29"/>
        <v>0.17708333333333326</v>
      </c>
      <c r="J266" s="234">
        <f t="shared" si="30"/>
        <v>-0.11180555555555555</v>
      </c>
      <c r="K266" s="121">
        <f t="shared" si="31"/>
        <v>0.2888888888888888</v>
      </c>
      <c r="L266" s="233">
        <f t="shared" si="32"/>
        <v>0.20833333333333337</v>
      </c>
      <c r="M266" s="121">
        <f t="shared" si="27"/>
        <v>0.4972222222222222</v>
      </c>
      <c r="N266" s="59">
        <f t="shared" si="33"/>
        <v>6.933333334442665</v>
      </c>
      <c r="O266" s="59">
        <f t="shared" si="33"/>
        <v>5.000000000800001</v>
      </c>
      <c r="P266" s="101">
        <f>Puissance_en_nominale*Simulation!N266+Puissance_en_economie*Simulation!O266</f>
        <v>443.0014367438481</v>
      </c>
      <c r="Q266" s="101">
        <f t="shared" si="34"/>
        <v>597.8600000956576</v>
      </c>
      <c r="R266" s="128">
        <f t="shared" si="35"/>
        <v>0.25902144871212684</v>
      </c>
    </row>
    <row r="267" spans="1:18" ht="12.75">
      <c r="A267" t="s">
        <v>428</v>
      </c>
      <c r="B267" s="116">
        <v>0.8020833333333334</v>
      </c>
      <c r="C267" s="116">
        <v>0.9791666666666666</v>
      </c>
      <c r="D267" s="116">
        <v>0.1875</v>
      </c>
      <c r="E267" s="116">
        <v>0.29930555555555555</v>
      </c>
      <c r="F267" t="s">
        <v>157</v>
      </c>
      <c r="H267" s="59">
        <f t="shared" si="28"/>
        <v>0.02083333333333337</v>
      </c>
      <c r="I267" s="234">
        <f t="shared" si="29"/>
        <v>0.17708333333333326</v>
      </c>
      <c r="J267" s="234">
        <f t="shared" si="30"/>
        <v>-0.11180555555555555</v>
      </c>
      <c r="K267" s="121">
        <f t="shared" si="31"/>
        <v>0.2888888888888888</v>
      </c>
      <c r="L267" s="233">
        <f t="shared" si="32"/>
        <v>0.20833333333333337</v>
      </c>
      <c r="M267" s="121">
        <f t="shared" si="27"/>
        <v>0.4972222222222222</v>
      </c>
      <c r="N267" s="59">
        <f t="shared" si="33"/>
        <v>6.933333334442665</v>
      </c>
      <c r="O267" s="59">
        <f t="shared" si="33"/>
        <v>5.000000000800001</v>
      </c>
      <c r="P267" s="101">
        <f>Puissance_en_nominale*Simulation!N267+Puissance_en_economie*Simulation!O267</f>
        <v>443.0014367438481</v>
      </c>
      <c r="Q267" s="101">
        <f t="shared" si="34"/>
        <v>597.8600000956576</v>
      </c>
      <c r="R267" s="128">
        <f t="shared" si="35"/>
        <v>0.25902144871212684</v>
      </c>
    </row>
    <row r="268" spans="1:18" ht="12.75">
      <c r="A268" t="s">
        <v>429</v>
      </c>
      <c r="B268" s="116">
        <v>0.8020833333333334</v>
      </c>
      <c r="C268" s="116">
        <v>0.9791666666666666</v>
      </c>
      <c r="D268" s="116">
        <v>0.1875</v>
      </c>
      <c r="E268" s="116">
        <v>0.29930555555555555</v>
      </c>
      <c r="F268" t="s">
        <v>157</v>
      </c>
      <c r="H268" s="59">
        <f t="shared" si="28"/>
        <v>0.02083333333333337</v>
      </c>
      <c r="I268" s="234">
        <f t="shared" si="29"/>
        <v>0.17708333333333326</v>
      </c>
      <c r="J268" s="234">
        <f t="shared" si="30"/>
        <v>-0.11180555555555555</v>
      </c>
      <c r="K268" s="121">
        <f t="shared" si="31"/>
        <v>0.2888888888888888</v>
      </c>
      <c r="L268" s="233">
        <f t="shared" si="32"/>
        <v>0.20833333333333337</v>
      </c>
      <c r="M268" s="121">
        <f t="shared" si="27"/>
        <v>0.4972222222222222</v>
      </c>
      <c r="N268" s="59">
        <f t="shared" si="33"/>
        <v>6.933333334442665</v>
      </c>
      <c r="O268" s="59">
        <f t="shared" si="33"/>
        <v>5.000000000800001</v>
      </c>
      <c r="P268" s="101">
        <f>Puissance_en_nominale*Simulation!N268+Puissance_en_economie*Simulation!O268</f>
        <v>443.0014367438481</v>
      </c>
      <c r="Q268" s="101">
        <f t="shared" si="34"/>
        <v>597.8600000956576</v>
      </c>
      <c r="R268" s="128">
        <f t="shared" si="35"/>
        <v>0.25902144871212684</v>
      </c>
    </row>
    <row r="269" spans="1:18" ht="12.75">
      <c r="A269" t="s">
        <v>430</v>
      </c>
      <c r="B269" s="116">
        <v>0.8020833333333334</v>
      </c>
      <c r="C269" s="116">
        <v>0.9791666666666666</v>
      </c>
      <c r="D269" s="116">
        <v>0.1875</v>
      </c>
      <c r="E269" s="116">
        <v>0.29930555555555555</v>
      </c>
      <c r="F269" t="s">
        <v>157</v>
      </c>
      <c r="H269" s="59">
        <f t="shared" si="28"/>
        <v>0.02083333333333337</v>
      </c>
      <c r="I269" s="234">
        <f t="shared" si="29"/>
        <v>0.17708333333333326</v>
      </c>
      <c r="J269" s="234">
        <f t="shared" si="30"/>
        <v>-0.11180555555555555</v>
      </c>
      <c r="K269" s="121">
        <f t="shared" si="31"/>
        <v>0.2888888888888888</v>
      </c>
      <c r="L269" s="233">
        <f t="shared" si="32"/>
        <v>0.20833333333333337</v>
      </c>
      <c r="M269" s="121">
        <f t="shared" si="27"/>
        <v>0.4972222222222222</v>
      </c>
      <c r="N269" s="59">
        <f t="shared" si="33"/>
        <v>6.933333334442665</v>
      </c>
      <c r="O269" s="59">
        <f t="shared" si="33"/>
        <v>5.000000000800001</v>
      </c>
      <c r="P269" s="101">
        <f>Puissance_en_nominale*Simulation!N269+Puissance_en_economie*Simulation!O269</f>
        <v>443.0014367438481</v>
      </c>
      <c r="Q269" s="101">
        <f t="shared" si="34"/>
        <v>597.8600000956576</v>
      </c>
      <c r="R269" s="128">
        <f t="shared" si="35"/>
        <v>0.25902144871212684</v>
      </c>
    </row>
    <row r="270" spans="1:18" ht="12.75">
      <c r="A270" t="s">
        <v>431</v>
      </c>
      <c r="B270" s="116">
        <v>0.8027777777777777</v>
      </c>
      <c r="C270" s="116">
        <v>0.9791666666666666</v>
      </c>
      <c r="D270" s="116">
        <v>0.1875</v>
      </c>
      <c r="E270" s="116">
        <v>0.31666666666666665</v>
      </c>
      <c r="F270" t="s">
        <v>157</v>
      </c>
      <c r="H270" s="59">
        <f t="shared" si="28"/>
        <v>0.02083333333333337</v>
      </c>
      <c r="I270" s="234">
        <f t="shared" si="29"/>
        <v>0.17638888888888893</v>
      </c>
      <c r="J270" s="234">
        <f t="shared" si="30"/>
        <v>-0.12916666666666665</v>
      </c>
      <c r="K270" s="121">
        <f t="shared" si="31"/>
        <v>0.3055555555555556</v>
      </c>
      <c r="L270" s="233">
        <f t="shared" si="32"/>
        <v>0.20833333333333337</v>
      </c>
      <c r="M270" s="121">
        <f t="shared" si="27"/>
        <v>0.513888888888889</v>
      </c>
      <c r="N270" s="59">
        <f t="shared" si="33"/>
        <v>7.333333334506667</v>
      </c>
      <c r="O270" s="59">
        <f t="shared" si="33"/>
        <v>5.000000000800001</v>
      </c>
      <c r="P270" s="101">
        <f>Puissance_en_nominale*Simulation!N270+Puissance_en_economie*Simulation!O270</f>
        <v>459.7077505461431</v>
      </c>
      <c r="Q270" s="101">
        <f t="shared" si="34"/>
        <v>617.9000000988642</v>
      </c>
      <c r="R270" s="128">
        <f t="shared" si="35"/>
        <v>0.2560159403259594</v>
      </c>
    </row>
    <row r="271" spans="1:18" ht="12.75">
      <c r="A271" t="s">
        <v>432</v>
      </c>
      <c r="B271" s="116">
        <v>0.7819444444444444</v>
      </c>
      <c r="C271" s="116">
        <v>0.9583333333333334</v>
      </c>
      <c r="D271" s="116">
        <v>0.20833333333333334</v>
      </c>
      <c r="E271" s="116">
        <v>0.31666666666666665</v>
      </c>
      <c r="F271" t="s">
        <v>180</v>
      </c>
      <c r="H271" s="59">
        <f t="shared" si="28"/>
        <v>0.04166666666666663</v>
      </c>
      <c r="I271" s="234">
        <f t="shared" si="29"/>
        <v>0.17638888888888893</v>
      </c>
      <c r="J271" s="234">
        <f t="shared" si="30"/>
        <v>-0.10833333333333331</v>
      </c>
      <c r="K271" s="121">
        <f t="shared" si="31"/>
        <v>0.2847222222222222</v>
      </c>
      <c r="L271" s="233">
        <f t="shared" si="32"/>
        <v>0.24999999999999997</v>
      </c>
      <c r="M271" s="121">
        <f aca="true" t="shared" si="36" ref="M271:M334">$K271+$L271</f>
        <v>0.5347222222222222</v>
      </c>
      <c r="N271" s="59">
        <f t="shared" si="33"/>
        <v>6.8333333344266665</v>
      </c>
      <c r="O271" s="59">
        <f t="shared" si="33"/>
        <v>6.00000000096</v>
      </c>
      <c r="P271" s="101">
        <f>Puissance_en_nominale*Simulation!N271+Puissance_en_economie*Simulation!O271</f>
        <v>469.50992446075486</v>
      </c>
      <c r="Q271" s="101">
        <f t="shared" si="34"/>
        <v>642.9500001028721</v>
      </c>
      <c r="R271" s="128">
        <f t="shared" si="35"/>
        <v>0.2697567083200354</v>
      </c>
    </row>
    <row r="272" spans="1:18" ht="12.75">
      <c r="A272" t="s">
        <v>433</v>
      </c>
      <c r="B272" s="116">
        <v>0.7819444444444444</v>
      </c>
      <c r="C272" s="116">
        <v>0.9583333333333334</v>
      </c>
      <c r="D272" s="116">
        <v>0.20833333333333334</v>
      </c>
      <c r="E272" s="116">
        <v>0.3</v>
      </c>
      <c r="F272" t="s">
        <v>180</v>
      </c>
      <c r="H272" s="59">
        <f aca="true" t="shared" si="37" ref="H272:H335">$K$5-C272</f>
        <v>0.04166666666666663</v>
      </c>
      <c r="I272" s="234">
        <f aca="true" t="shared" si="38" ref="I272:I335">C272-B272</f>
        <v>0.17638888888888893</v>
      </c>
      <c r="J272" s="234">
        <f aca="true" t="shared" si="39" ref="J272:J335">D272-E272</f>
        <v>-0.09166666666666665</v>
      </c>
      <c r="K272" s="121">
        <f aca="true" t="shared" si="40" ref="K272:K335">IF(AND($H272&lt;0.5,$I272&gt;=0,$J272&lt;0),($C272-$B272)+($E272-$D272),IF(AND($H272&lt;0.5,$I272&gt;=0,$J272&gt;=0),($C272-$B272),IF(AND($H272&lt;0.5,$I272&lt;0,$J272&gt;=0),0,IF(AND($H272&lt;0.5,$I272&lt;0,$J272&lt;0),$E272-$D272,IF(AND($H272&gt;=0.5,$I272&lt;0,$J272&lt;0),($C272-$K$7)+($K$5-$B272)+(E272-D272),IF(AND($H272&gt;=0.5,$I272&lt;0,$J272&gt;=0),($C272-$K$7)+($K$5-$B272),0))))))</f>
        <v>0.2680555555555556</v>
      </c>
      <c r="L272" s="233">
        <f aca="true" t="shared" si="41" ref="L272:L335">IF(AND($H272&lt;0.5,$I272&gt;=0,$J272&lt;0),($K$5-$C272)+($D272-$K$7),IF(AND($H272&lt;0.5,$I272&gt;=0,$J272&gt;=0),($K$5-$C272)+($E272-$K$7),IF(AND($H272&lt;0.5,$I272&lt;0,$J272&gt;=0),($K$5-$C272)+($D272-$K$7),IF(AND($H272&lt;0.5,$I272&lt;0,$J272&lt;0),($K$5-$C272)+($D272-$K$7),IF(AND($H272&gt;=0.5,$I272&lt;0,$J272&lt;0),$D272-$C272,IF(AND($H272&gt;=0.5,$I272&lt;0,$J272&gt;=0),$E272-$C272,0))))))</f>
        <v>0.24999999999999997</v>
      </c>
      <c r="M272" s="121">
        <f t="shared" si="36"/>
        <v>0.5180555555555556</v>
      </c>
      <c r="N272" s="59">
        <f aca="true" t="shared" si="42" ref="N272:O335">K272/$S$3</f>
        <v>6.433333334362668</v>
      </c>
      <c r="O272" s="59">
        <f t="shared" si="42"/>
        <v>6.00000000096</v>
      </c>
      <c r="P272" s="101">
        <f>Puissance_en_nominale*Simulation!N272+Puissance_en_economie*Simulation!O272</f>
        <v>452.80361065846</v>
      </c>
      <c r="Q272" s="101">
        <f aca="true" t="shared" si="43" ref="Q272:Q335">Puissance_à_la_tension_réseau*(N272+O272)</f>
        <v>622.9100000996658</v>
      </c>
      <c r="R272" s="128">
        <f aca="true" t="shared" si="44" ref="R272:R335">1-P272/Q272</f>
        <v>0.2730834139987939</v>
      </c>
    </row>
    <row r="273" spans="1:18" ht="12.75">
      <c r="A273" t="s">
        <v>434</v>
      </c>
      <c r="B273" s="116">
        <v>0.8027777777777777</v>
      </c>
      <c r="C273" s="116">
        <v>0.9791666666666666</v>
      </c>
      <c r="D273" s="116">
        <v>0.1875</v>
      </c>
      <c r="E273" s="116">
        <v>0.3</v>
      </c>
      <c r="F273" t="s">
        <v>157</v>
      </c>
      <c r="H273" s="59">
        <f t="shared" si="37"/>
        <v>0.02083333333333337</v>
      </c>
      <c r="I273" s="234">
        <f t="shared" si="38"/>
        <v>0.17638888888888893</v>
      </c>
      <c r="J273" s="234">
        <f t="shared" si="39"/>
        <v>-0.11249999999999999</v>
      </c>
      <c r="K273" s="121">
        <f t="shared" si="40"/>
        <v>0.2888888888888889</v>
      </c>
      <c r="L273" s="233">
        <f t="shared" si="41"/>
        <v>0.20833333333333337</v>
      </c>
      <c r="M273" s="121">
        <f t="shared" si="36"/>
        <v>0.4972222222222223</v>
      </c>
      <c r="N273" s="59">
        <f t="shared" si="42"/>
        <v>6.9333333344426675</v>
      </c>
      <c r="O273" s="59">
        <f t="shared" si="42"/>
        <v>5.000000000800001</v>
      </c>
      <c r="P273" s="101">
        <f>Puissance_en_nominale*Simulation!N273+Puissance_en_economie*Simulation!O273</f>
        <v>443.0014367438482</v>
      </c>
      <c r="Q273" s="101">
        <f t="shared" si="43"/>
        <v>597.8600000956578</v>
      </c>
      <c r="R273" s="128">
        <f t="shared" si="44"/>
        <v>0.25902144871212684</v>
      </c>
    </row>
    <row r="274" spans="1:18" ht="12.75">
      <c r="A274" t="s">
        <v>435</v>
      </c>
      <c r="B274" s="116">
        <v>0.8027777777777777</v>
      </c>
      <c r="C274" s="116">
        <v>0.9791666666666666</v>
      </c>
      <c r="D274" s="116">
        <v>0.1875</v>
      </c>
      <c r="E274" s="116">
        <v>0.3</v>
      </c>
      <c r="F274" t="s">
        <v>157</v>
      </c>
      <c r="H274" s="59">
        <f t="shared" si="37"/>
        <v>0.02083333333333337</v>
      </c>
      <c r="I274" s="234">
        <f t="shared" si="38"/>
        <v>0.17638888888888893</v>
      </c>
      <c r="J274" s="234">
        <f t="shared" si="39"/>
        <v>-0.11249999999999999</v>
      </c>
      <c r="K274" s="121">
        <f t="shared" si="40"/>
        <v>0.2888888888888889</v>
      </c>
      <c r="L274" s="233">
        <f t="shared" si="41"/>
        <v>0.20833333333333337</v>
      </c>
      <c r="M274" s="121">
        <f t="shared" si="36"/>
        <v>0.4972222222222223</v>
      </c>
      <c r="N274" s="59">
        <f t="shared" si="42"/>
        <v>6.9333333344426675</v>
      </c>
      <c r="O274" s="59">
        <f t="shared" si="42"/>
        <v>5.000000000800001</v>
      </c>
      <c r="P274" s="101">
        <f>Puissance_en_nominale*Simulation!N274+Puissance_en_economie*Simulation!O274</f>
        <v>443.0014367438482</v>
      </c>
      <c r="Q274" s="101">
        <f t="shared" si="43"/>
        <v>597.8600000956578</v>
      </c>
      <c r="R274" s="128">
        <f t="shared" si="44"/>
        <v>0.25902144871212684</v>
      </c>
    </row>
    <row r="275" spans="1:18" ht="12.75">
      <c r="A275" t="s">
        <v>436</v>
      </c>
      <c r="B275" s="116">
        <v>0.8027777777777777</v>
      </c>
      <c r="C275" s="116">
        <v>0.9791666666666666</v>
      </c>
      <c r="D275" s="116">
        <v>0.1875</v>
      </c>
      <c r="E275" s="116">
        <v>0.3</v>
      </c>
      <c r="F275" t="s">
        <v>157</v>
      </c>
      <c r="H275" s="59">
        <f t="shared" si="37"/>
        <v>0.02083333333333337</v>
      </c>
      <c r="I275" s="234">
        <f t="shared" si="38"/>
        <v>0.17638888888888893</v>
      </c>
      <c r="J275" s="234">
        <f t="shared" si="39"/>
        <v>-0.11249999999999999</v>
      </c>
      <c r="K275" s="121">
        <f t="shared" si="40"/>
        <v>0.2888888888888889</v>
      </c>
      <c r="L275" s="233">
        <f t="shared" si="41"/>
        <v>0.20833333333333337</v>
      </c>
      <c r="M275" s="121">
        <f t="shared" si="36"/>
        <v>0.4972222222222223</v>
      </c>
      <c r="N275" s="59">
        <f t="shared" si="42"/>
        <v>6.9333333344426675</v>
      </c>
      <c r="O275" s="59">
        <f t="shared" si="42"/>
        <v>5.000000000800001</v>
      </c>
      <c r="P275" s="101">
        <f>Puissance_en_nominale*Simulation!N275+Puissance_en_economie*Simulation!O275</f>
        <v>443.0014367438482</v>
      </c>
      <c r="Q275" s="101">
        <f t="shared" si="43"/>
        <v>597.8600000956578</v>
      </c>
      <c r="R275" s="128">
        <f t="shared" si="44"/>
        <v>0.25902144871212684</v>
      </c>
    </row>
    <row r="276" spans="1:18" ht="12.75">
      <c r="A276" t="s">
        <v>437</v>
      </c>
      <c r="B276" s="116">
        <v>0.8027777777777777</v>
      </c>
      <c r="C276" s="116">
        <v>0.9791666666666666</v>
      </c>
      <c r="D276" s="116">
        <v>0.1875</v>
      </c>
      <c r="E276" s="116">
        <v>0.3</v>
      </c>
      <c r="F276" t="s">
        <v>157</v>
      </c>
      <c r="H276" s="59">
        <f t="shared" si="37"/>
        <v>0.02083333333333337</v>
      </c>
      <c r="I276" s="234">
        <f t="shared" si="38"/>
        <v>0.17638888888888893</v>
      </c>
      <c r="J276" s="234">
        <f t="shared" si="39"/>
        <v>-0.11249999999999999</v>
      </c>
      <c r="K276" s="121">
        <f t="shared" si="40"/>
        <v>0.2888888888888889</v>
      </c>
      <c r="L276" s="233">
        <f t="shared" si="41"/>
        <v>0.20833333333333337</v>
      </c>
      <c r="M276" s="121">
        <f t="shared" si="36"/>
        <v>0.4972222222222223</v>
      </c>
      <c r="N276" s="59">
        <f t="shared" si="42"/>
        <v>6.9333333344426675</v>
      </c>
      <c r="O276" s="59">
        <f t="shared" si="42"/>
        <v>5.000000000800001</v>
      </c>
      <c r="P276" s="101">
        <f>Puissance_en_nominale*Simulation!N276+Puissance_en_economie*Simulation!O276</f>
        <v>443.0014367438482</v>
      </c>
      <c r="Q276" s="101">
        <f t="shared" si="43"/>
        <v>597.8600000956578</v>
      </c>
      <c r="R276" s="128">
        <f t="shared" si="44"/>
        <v>0.25902144871212684</v>
      </c>
    </row>
    <row r="277" spans="1:18" ht="12.75">
      <c r="A277" t="s">
        <v>438</v>
      </c>
      <c r="B277" s="116">
        <v>0.8027777777777777</v>
      </c>
      <c r="C277" s="116">
        <v>0.9791666666666666</v>
      </c>
      <c r="D277" s="116">
        <v>0.1875</v>
      </c>
      <c r="E277" s="116">
        <v>0.31736111111111115</v>
      </c>
      <c r="F277" t="s">
        <v>157</v>
      </c>
      <c r="H277" s="59">
        <f t="shared" si="37"/>
        <v>0.02083333333333337</v>
      </c>
      <c r="I277" s="234">
        <f t="shared" si="38"/>
        <v>0.17638888888888893</v>
      </c>
      <c r="J277" s="234">
        <f t="shared" si="39"/>
        <v>-0.12986111111111115</v>
      </c>
      <c r="K277" s="121">
        <f t="shared" si="40"/>
        <v>0.3062500000000001</v>
      </c>
      <c r="L277" s="233">
        <f t="shared" si="41"/>
        <v>0.20833333333333337</v>
      </c>
      <c r="M277" s="121">
        <f t="shared" si="36"/>
        <v>0.5145833333333334</v>
      </c>
      <c r="N277" s="59">
        <f t="shared" si="42"/>
        <v>7.350000001176002</v>
      </c>
      <c r="O277" s="59">
        <f t="shared" si="42"/>
        <v>5.000000000800001</v>
      </c>
      <c r="P277" s="101">
        <f>Puissance_en_nominale*Simulation!N277+Puissance_en_economie*Simulation!O277</f>
        <v>460.40384695457215</v>
      </c>
      <c r="Q277" s="101">
        <f t="shared" si="43"/>
        <v>618.7350000989978</v>
      </c>
      <c r="R277" s="128">
        <f t="shared" si="44"/>
        <v>0.25589493582728084</v>
      </c>
    </row>
    <row r="278" spans="1:18" ht="12.75">
      <c r="A278" t="s">
        <v>439</v>
      </c>
      <c r="B278" s="116">
        <v>0.7819444444444444</v>
      </c>
      <c r="C278" s="116">
        <v>0.9583333333333334</v>
      </c>
      <c r="D278" s="116">
        <v>0.20833333333333334</v>
      </c>
      <c r="E278" s="116">
        <v>0.31736111111111115</v>
      </c>
      <c r="F278" t="s">
        <v>180</v>
      </c>
      <c r="H278" s="59">
        <f t="shared" si="37"/>
        <v>0.04166666666666663</v>
      </c>
      <c r="I278" s="234">
        <f t="shared" si="38"/>
        <v>0.17638888888888893</v>
      </c>
      <c r="J278" s="234">
        <f t="shared" si="39"/>
        <v>-0.1090277777777778</v>
      </c>
      <c r="K278" s="121">
        <f t="shared" si="40"/>
        <v>0.28541666666666676</v>
      </c>
      <c r="L278" s="233">
        <f t="shared" si="41"/>
        <v>0.24999999999999997</v>
      </c>
      <c r="M278" s="121">
        <f t="shared" si="36"/>
        <v>0.5354166666666668</v>
      </c>
      <c r="N278" s="59">
        <f t="shared" si="42"/>
        <v>6.850000001096003</v>
      </c>
      <c r="O278" s="59">
        <f t="shared" si="42"/>
        <v>6.00000000096</v>
      </c>
      <c r="P278" s="101">
        <f>Puissance_en_nominale*Simulation!N278+Puissance_en_economie*Simulation!O278</f>
        <v>470.206020869184</v>
      </c>
      <c r="Q278" s="101">
        <f t="shared" si="43"/>
        <v>643.7850001030058</v>
      </c>
      <c r="R278" s="128">
        <f t="shared" si="44"/>
        <v>0.2696225901598346</v>
      </c>
    </row>
    <row r="279" spans="1:18" ht="12.75">
      <c r="A279" t="s">
        <v>440</v>
      </c>
      <c r="B279" s="116">
        <v>0.7819444444444444</v>
      </c>
      <c r="C279" s="116">
        <v>0.9583333333333334</v>
      </c>
      <c r="D279" s="116">
        <v>0.20833333333333334</v>
      </c>
      <c r="E279" s="116">
        <v>0.3</v>
      </c>
      <c r="F279" t="s">
        <v>180</v>
      </c>
      <c r="H279" s="59">
        <f t="shared" si="37"/>
        <v>0.04166666666666663</v>
      </c>
      <c r="I279" s="234">
        <f t="shared" si="38"/>
        <v>0.17638888888888893</v>
      </c>
      <c r="J279" s="234">
        <f t="shared" si="39"/>
        <v>-0.09166666666666665</v>
      </c>
      <c r="K279" s="121">
        <f t="shared" si="40"/>
        <v>0.2680555555555556</v>
      </c>
      <c r="L279" s="233">
        <f t="shared" si="41"/>
        <v>0.24999999999999997</v>
      </c>
      <c r="M279" s="121">
        <f t="shared" si="36"/>
        <v>0.5180555555555556</v>
      </c>
      <c r="N279" s="59">
        <f t="shared" si="42"/>
        <v>6.433333334362668</v>
      </c>
      <c r="O279" s="59">
        <f t="shared" si="42"/>
        <v>6.00000000096</v>
      </c>
      <c r="P279" s="101">
        <f>Puissance_en_nominale*Simulation!N279+Puissance_en_economie*Simulation!O279</f>
        <v>452.80361065846</v>
      </c>
      <c r="Q279" s="101">
        <f t="shared" si="43"/>
        <v>622.9100000996658</v>
      </c>
      <c r="R279" s="128">
        <f t="shared" si="44"/>
        <v>0.2730834139987939</v>
      </c>
    </row>
    <row r="280" spans="1:18" ht="12.75">
      <c r="A280" t="s">
        <v>441</v>
      </c>
      <c r="B280" s="116">
        <v>0.8027777777777777</v>
      </c>
      <c r="C280" s="116">
        <v>0.9791666666666666</v>
      </c>
      <c r="D280" s="116">
        <v>0.1875</v>
      </c>
      <c r="E280" s="116">
        <v>0.3</v>
      </c>
      <c r="F280" t="s">
        <v>157</v>
      </c>
      <c r="H280" s="59">
        <f t="shared" si="37"/>
        <v>0.02083333333333337</v>
      </c>
      <c r="I280" s="234">
        <f t="shared" si="38"/>
        <v>0.17638888888888893</v>
      </c>
      <c r="J280" s="234">
        <f t="shared" si="39"/>
        <v>-0.11249999999999999</v>
      </c>
      <c r="K280" s="121">
        <f t="shared" si="40"/>
        <v>0.2888888888888889</v>
      </c>
      <c r="L280" s="233">
        <f t="shared" si="41"/>
        <v>0.20833333333333337</v>
      </c>
      <c r="M280" s="121">
        <f t="shared" si="36"/>
        <v>0.4972222222222223</v>
      </c>
      <c r="N280" s="59">
        <f t="shared" si="42"/>
        <v>6.9333333344426675</v>
      </c>
      <c r="O280" s="59">
        <f t="shared" si="42"/>
        <v>5.000000000800001</v>
      </c>
      <c r="P280" s="101">
        <f>Puissance_en_nominale*Simulation!N280+Puissance_en_economie*Simulation!O280</f>
        <v>443.0014367438482</v>
      </c>
      <c r="Q280" s="101">
        <f t="shared" si="43"/>
        <v>597.8600000956578</v>
      </c>
      <c r="R280" s="128">
        <f t="shared" si="44"/>
        <v>0.25902144871212684</v>
      </c>
    </row>
    <row r="281" spans="1:18" ht="12.75">
      <c r="A281" t="s">
        <v>442</v>
      </c>
      <c r="B281" s="116">
        <v>0.8027777777777777</v>
      </c>
      <c r="C281" s="116">
        <v>0.9791666666666666</v>
      </c>
      <c r="D281" s="116">
        <v>0.1875</v>
      </c>
      <c r="E281" s="116">
        <v>0.3</v>
      </c>
      <c r="F281" t="s">
        <v>157</v>
      </c>
      <c r="H281" s="59">
        <f t="shared" si="37"/>
        <v>0.02083333333333337</v>
      </c>
      <c r="I281" s="234">
        <f t="shared" si="38"/>
        <v>0.17638888888888893</v>
      </c>
      <c r="J281" s="234">
        <f t="shared" si="39"/>
        <v>-0.11249999999999999</v>
      </c>
      <c r="K281" s="121">
        <f t="shared" si="40"/>
        <v>0.2888888888888889</v>
      </c>
      <c r="L281" s="233">
        <f t="shared" si="41"/>
        <v>0.20833333333333337</v>
      </c>
      <c r="M281" s="121">
        <f t="shared" si="36"/>
        <v>0.4972222222222223</v>
      </c>
      <c r="N281" s="59">
        <f t="shared" si="42"/>
        <v>6.9333333344426675</v>
      </c>
      <c r="O281" s="59">
        <f t="shared" si="42"/>
        <v>5.000000000800001</v>
      </c>
      <c r="P281" s="101">
        <f>Puissance_en_nominale*Simulation!N281+Puissance_en_economie*Simulation!O281</f>
        <v>443.0014367438482</v>
      </c>
      <c r="Q281" s="101">
        <f t="shared" si="43"/>
        <v>597.8600000956578</v>
      </c>
      <c r="R281" s="128">
        <f t="shared" si="44"/>
        <v>0.25902144871212684</v>
      </c>
    </row>
    <row r="282" spans="1:18" ht="12.75">
      <c r="A282" t="s">
        <v>443</v>
      </c>
      <c r="B282" s="116">
        <v>0.8027777777777777</v>
      </c>
      <c r="C282" s="116">
        <v>0.9791666666666666</v>
      </c>
      <c r="D282" s="116">
        <v>0.1875</v>
      </c>
      <c r="E282" s="116">
        <v>0.3</v>
      </c>
      <c r="F282" t="s">
        <v>157</v>
      </c>
      <c r="H282" s="59">
        <f t="shared" si="37"/>
        <v>0.02083333333333337</v>
      </c>
      <c r="I282" s="234">
        <f t="shared" si="38"/>
        <v>0.17638888888888893</v>
      </c>
      <c r="J282" s="234">
        <f t="shared" si="39"/>
        <v>-0.11249999999999999</v>
      </c>
      <c r="K282" s="121">
        <f t="shared" si="40"/>
        <v>0.2888888888888889</v>
      </c>
      <c r="L282" s="233">
        <f t="shared" si="41"/>
        <v>0.20833333333333337</v>
      </c>
      <c r="M282" s="121">
        <f t="shared" si="36"/>
        <v>0.4972222222222223</v>
      </c>
      <c r="N282" s="59">
        <f t="shared" si="42"/>
        <v>6.9333333344426675</v>
      </c>
      <c r="O282" s="59">
        <f t="shared" si="42"/>
        <v>5.000000000800001</v>
      </c>
      <c r="P282" s="101">
        <f>Puissance_en_nominale*Simulation!N282+Puissance_en_economie*Simulation!O282</f>
        <v>443.0014367438482</v>
      </c>
      <c r="Q282" s="101">
        <f t="shared" si="43"/>
        <v>597.8600000956578</v>
      </c>
      <c r="R282" s="128">
        <f t="shared" si="44"/>
        <v>0.25902144871212684</v>
      </c>
    </row>
    <row r="283" spans="1:18" ht="12.75">
      <c r="A283" t="s">
        <v>444</v>
      </c>
      <c r="B283" s="116">
        <v>0.8027777777777777</v>
      </c>
      <c r="C283" s="116">
        <v>0.9791666666666666</v>
      </c>
      <c r="D283" s="116">
        <v>0.1875</v>
      </c>
      <c r="E283" s="116">
        <v>0.3</v>
      </c>
      <c r="F283" t="s">
        <v>157</v>
      </c>
      <c r="H283" s="59">
        <f t="shared" si="37"/>
        <v>0.02083333333333337</v>
      </c>
      <c r="I283" s="234">
        <f t="shared" si="38"/>
        <v>0.17638888888888893</v>
      </c>
      <c r="J283" s="234">
        <f t="shared" si="39"/>
        <v>-0.11249999999999999</v>
      </c>
      <c r="K283" s="121">
        <f t="shared" si="40"/>
        <v>0.2888888888888889</v>
      </c>
      <c r="L283" s="233">
        <f t="shared" si="41"/>
        <v>0.20833333333333337</v>
      </c>
      <c r="M283" s="121">
        <f t="shared" si="36"/>
        <v>0.4972222222222223</v>
      </c>
      <c r="N283" s="59">
        <f t="shared" si="42"/>
        <v>6.9333333344426675</v>
      </c>
      <c r="O283" s="59">
        <f t="shared" si="42"/>
        <v>5.000000000800001</v>
      </c>
      <c r="P283" s="101">
        <f>Puissance_en_nominale*Simulation!N283+Puissance_en_economie*Simulation!O283</f>
        <v>443.0014367438482</v>
      </c>
      <c r="Q283" s="101">
        <f t="shared" si="43"/>
        <v>597.8600000956578</v>
      </c>
      <c r="R283" s="128">
        <f t="shared" si="44"/>
        <v>0.25902144871212684</v>
      </c>
    </row>
    <row r="284" spans="1:18" ht="12.75">
      <c r="A284" t="s">
        <v>445</v>
      </c>
      <c r="B284" s="116">
        <v>0.8027777777777777</v>
      </c>
      <c r="C284" s="116">
        <v>0.9791666666666666</v>
      </c>
      <c r="D284" s="116">
        <v>0.1875</v>
      </c>
      <c r="E284" s="116">
        <v>0.31736111111111115</v>
      </c>
      <c r="F284" t="s">
        <v>157</v>
      </c>
      <c r="H284" s="59">
        <f t="shared" si="37"/>
        <v>0.02083333333333337</v>
      </c>
      <c r="I284" s="234">
        <f t="shared" si="38"/>
        <v>0.17638888888888893</v>
      </c>
      <c r="J284" s="234">
        <f t="shared" si="39"/>
        <v>-0.12986111111111115</v>
      </c>
      <c r="K284" s="121">
        <f t="shared" si="40"/>
        <v>0.3062500000000001</v>
      </c>
      <c r="L284" s="233">
        <f t="shared" si="41"/>
        <v>0.20833333333333337</v>
      </c>
      <c r="M284" s="121">
        <f t="shared" si="36"/>
        <v>0.5145833333333334</v>
      </c>
      <c r="N284" s="59">
        <f t="shared" si="42"/>
        <v>7.350000001176002</v>
      </c>
      <c r="O284" s="59">
        <f t="shared" si="42"/>
        <v>5.000000000800001</v>
      </c>
      <c r="P284" s="101">
        <f>Puissance_en_nominale*Simulation!N284+Puissance_en_economie*Simulation!O284</f>
        <v>460.40384695457215</v>
      </c>
      <c r="Q284" s="101">
        <f t="shared" si="43"/>
        <v>618.7350000989978</v>
      </c>
      <c r="R284" s="128">
        <f t="shared" si="44"/>
        <v>0.25589493582728084</v>
      </c>
    </row>
    <row r="285" spans="1:18" ht="12.75">
      <c r="A285" t="s">
        <v>446</v>
      </c>
      <c r="B285" s="116">
        <v>0.7819444444444444</v>
      </c>
      <c r="C285" s="116">
        <v>0.9583333333333334</v>
      </c>
      <c r="D285" s="116">
        <v>0.20833333333333334</v>
      </c>
      <c r="E285" s="116">
        <v>0.31736111111111115</v>
      </c>
      <c r="F285" t="s">
        <v>180</v>
      </c>
      <c r="H285" s="59">
        <f t="shared" si="37"/>
        <v>0.04166666666666663</v>
      </c>
      <c r="I285" s="234">
        <f t="shared" si="38"/>
        <v>0.17638888888888893</v>
      </c>
      <c r="J285" s="234">
        <f t="shared" si="39"/>
        <v>-0.1090277777777778</v>
      </c>
      <c r="K285" s="121">
        <f t="shared" si="40"/>
        <v>0.28541666666666676</v>
      </c>
      <c r="L285" s="233">
        <f t="shared" si="41"/>
        <v>0.24999999999999997</v>
      </c>
      <c r="M285" s="121">
        <f t="shared" si="36"/>
        <v>0.5354166666666668</v>
      </c>
      <c r="N285" s="59">
        <f t="shared" si="42"/>
        <v>6.850000001096003</v>
      </c>
      <c r="O285" s="59">
        <f t="shared" si="42"/>
        <v>6.00000000096</v>
      </c>
      <c r="P285" s="101">
        <f>Puissance_en_nominale*Simulation!N285+Puissance_en_economie*Simulation!O285</f>
        <v>470.206020869184</v>
      </c>
      <c r="Q285" s="101">
        <f t="shared" si="43"/>
        <v>643.7850001030058</v>
      </c>
      <c r="R285" s="128">
        <f t="shared" si="44"/>
        <v>0.2696225901598346</v>
      </c>
    </row>
    <row r="286" spans="1:18" ht="12.75">
      <c r="A286" t="s">
        <v>447</v>
      </c>
      <c r="B286" s="116">
        <v>0.7819444444444444</v>
      </c>
      <c r="C286" s="116">
        <v>0.9583333333333334</v>
      </c>
      <c r="D286" s="116">
        <v>0.20833333333333334</v>
      </c>
      <c r="E286" s="116">
        <v>0.3</v>
      </c>
      <c r="F286" t="s">
        <v>180</v>
      </c>
      <c r="H286" s="59">
        <f t="shared" si="37"/>
        <v>0.04166666666666663</v>
      </c>
      <c r="I286" s="234">
        <f t="shared" si="38"/>
        <v>0.17638888888888893</v>
      </c>
      <c r="J286" s="234">
        <f t="shared" si="39"/>
        <v>-0.09166666666666665</v>
      </c>
      <c r="K286" s="121">
        <f t="shared" si="40"/>
        <v>0.2680555555555556</v>
      </c>
      <c r="L286" s="233">
        <f t="shared" si="41"/>
        <v>0.24999999999999997</v>
      </c>
      <c r="M286" s="121">
        <f t="shared" si="36"/>
        <v>0.5180555555555556</v>
      </c>
      <c r="N286" s="59">
        <f t="shared" si="42"/>
        <v>6.433333334362668</v>
      </c>
      <c r="O286" s="59">
        <f t="shared" si="42"/>
        <v>6.00000000096</v>
      </c>
      <c r="P286" s="101">
        <f>Puissance_en_nominale*Simulation!N286+Puissance_en_economie*Simulation!O286</f>
        <v>452.80361065846</v>
      </c>
      <c r="Q286" s="101">
        <f t="shared" si="43"/>
        <v>622.9100000996658</v>
      </c>
      <c r="R286" s="128">
        <f t="shared" si="44"/>
        <v>0.2730834139987939</v>
      </c>
    </row>
    <row r="287" spans="1:18" ht="12.75">
      <c r="A287" t="s">
        <v>448</v>
      </c>
      <c r="B287" s="116">
        <v>0.8027777777777777</v>
      </c>
      <c r="C287" s="116">
        <v>0.9791666666666666</v>
      </c>
      <c r="D287" s="116">
        <v>0.1875</v>
      </c>
      <c r="E287" s="116">
        <v>0.3</v>
      </c>
      <c r="F287" t="s">
        <v>157</v>
      </c>
      <c r="H287" s="59">
        <f t="shared" si="37"/>
        <v>0.02083333333333337</v>
      </c>
      <c r="I287" s="234">
        <f t="shared" si="38"/>
        <v>0.17638888888888893</v>
      </c>
      <c r="J287" s="234">
        <f t="shared" si="39"/>
        <v>-0.11249999999999999</v>
      </c>
      <c r="K287" s="121">
        <f t="shared" si="40"/>
        <v>0.2888888888888889</v>
      </c>
      <c r="L287" s="233">
        <f t="shared" si="41"/>
        <v>0.20833333333333337</v>
      </c>
      <c r="M287" s="121">
        <f t="shared" si="36"/>
        <v>0.4972222222222223</v>
      </c>
      <c r="N287" s="59">
        <f t="shared" si="42"/>
        <v>6.9333333344426675</v>
      </c>
      <c r="O287" s="59">
        <f t="shared" si="42"/>
        <v>5.000000000800001</v>
      </c>
      <c r="P287" s="101">
        <f>Puissance_en_nominale*Simulation!N287+Puissance_en_economie*Simulation!O287</f>
        <v>443.0014367438482</v>
      </c>
      <c r="Q287" s="101">
        <f t="shared" si="43"/>
        <v>597.8600000956578</v>
      </c>
      <c r="R287" s="128">
        <f t="shared" si="44"/>
        <v>0.25902144871212684</v>
      </c>
    </row>
    <row r="288" spans="1:18" ht="12.75">
      <c r="A288" t="s">
        <v>449</v>
      </c>
      <c r="B288" s="116">
        <v>0.8027777777777777</v>
      </c>
      <c r="C288" s="116">
        <v>0.9791666666666666</v>
      </c>
      <c r="D288" s="116">
        <v>0.1875</v>
      </c>
      <c r="E288" s="116">
        <v>0.3</v>
      </c>
      <c r="F288" t="s">
        <v>157</v>
      </c>
      <c r="H288" s="59">
        <f t="shared" si="37"/>
        <v>0.02083333333333337</v>
      </c>
      <c r="I288" s="234">
        <f t="shared" si="38"/>
        <v>0.17638888888888893</v>
      </c>
      <c r="J288" s="234">
        <f t="shared" si="39"/>
        <v>-0.11249999999999999</v>
      </c>
      <c r="K288" s="121">
        <f t="shared" si="40"/>
        <v>0.2888888888888889</v>
      </c>
      <c r="L288" s="233">
        <f t="shared" si="41"/>
        <v>0.20833333333333337</v>
      </c>
      <c r="M288" s="121">
        <f t="shared" si="36"/>
        <v>0.4972222222222223</v>
      </c>
      <c r="N288" s="59">
        <f t="shared" si="42"/>
        <v>6.9333333344426675</v>
      </c>
      <c r="O288" s="59">
        <f t="shared" si="42"/>
        <v>5.000000000800001</v>
      </c>
      <c r="P288" s="101">
        <f>Puissance_en_nominale*Simulation!N288+Puissance_en_economie*Simulation!O288</f>
        <v>443.0014367438482</v>
      </c>
      <c r="Q288" s="101">
        <f t="shared" si="43"/>
        <v>597.8600000956578</v>
      </c>
      <c r="R288" s="128">
        <f t="shared" si="44"/>
        <v>0.25902144871212684</v>
      </c>
    </row>
    <row r="289" spans="1:18" ht="12.75">
      <c r="A289" t="s">
        <v>450</v>
      </c>
      <c r="B289" s="116">
        <v>0.8027777777777777</v>
      </c>
      <c r="C289" s="116">
        <v>0.9791666666666666</v>
      </c>
      <c r="D289" s="116">
        <v>0.1875</v>
      </c>
      <c r="E289" s="116">
        <v>0.29930555555555555</v>
      </c>
      <c r="F289" t="s">
        <v>157</v>
      </c>
      <c r="H289" s="59">
        <f t="shared" si="37"/>
        <v>0.02083333333333337</v>
      </c>
      <c r="I289" s="234">
        <f t="shared" si="38"/>
        <v>0.17638888888888893</v>
      </c>
      <c r="J289" s="234">
        <f t="shared" si="39"/>
        <v>-0.11180555555555555</v>
      </c>
      <c r="K289" s="121">
        <f t="shared" si="40"/>
        <v>0.2881944444444445</v>
      </c>
      <c r="L289" s="233">
        <f t="shared" si="41"/>
        <v>0.20833333333333337</v>
      </c>
      <c r="M289" s="121">
        <f t="shared" si="36"/>
        <v>0.49652777777777785</v>
      </c>
      <c r="N289" s="59">
        <f t="shared" si="42"/>
        <v>6.916666667773335</v>
      </c>
      <c r="O289" s="59">
        <f t="shared" si="42"/>
        <v>5.000000000800001</v>
      </c>
      <c r="P289" s="101">
        <f>Puissance_en_nominale*Simulation!N289+Puissance_en_economie*Simulation!O289</f>
        <v>442.30534033541926</v>
      </c>
      <c r="Q289" s="101">
        <f t="shared" si="43"/>
        <v>597.0250000955242</v>
      </c>
      <c r="R289" s="128">
        <f t="shared" si="44"/>
        <v>0.25915105688262596</v>
      </c>
    </row>
    <row r="290" spans="1:18" ht="12.75">
      <c r="A290" t="s">
        <v>451</v>
      </c>
      <c r="B290" s="116">
        <v>0.8027777777777777</v>
      </c>
      <c r="C290" s="116">
        <v>0.9791666666666666</v>
      </c>
      <c r="D290" s="116">
        <v>0.1875</v>
      </c>
      <c r="E290" s="116">
        <v>0.29930555555555555</v>
      </c>
      <c r="F290" t="s">
        <v>157</v>
      </c>
      <c r="H290" s="59">
        <f t="shared" si="37"/>
        <v>0.02083333333333337</v>
      </c>
      <c r="I290" s="234">
        <f t="shared" si="38"/>
        <v>0.17638888888888893</v>
      </c>
      <c r="J290" s="234">
        <f t="shared" si="39"/>
        <v>-0.11180555555555555</v>
      </c>
      <c r="K290" s="121">
        <f t="shared" si="40"/>
        <v>0.2881944444444445</v>
      </c>
      <c r="L290" s="233">
        <f t="shared" si="41"/>
        <v>0.20833333333333337</v>
      </c>
      <c r="M290" s="121">
        <f t="shared" si="36"/>
        <v>0.49652777777777785</v>
      </c>
      <c r="N290" s="59">
        <f t="shared" si="42"/>
        <v>6.916666667773335</v>
      </c>
      <c r="O290" s="59">
        <f t="shared" si="42"/>
        <v>5.000000000800001</v>
      </c>
      <c r="P290" s="101">
        <f>Puissance_en_nominale*Simulation!N290+Puissance_en_economie*Simulation!O290</f>
        <v>442.30534033541926</v>
      </c>
      <c r="Q290" s="101">
        <f t="shared" si="43"/>
        <v>597.0250000955242</v>
      </c>
      <c r="R290" s="128">
        <f t="shared" si="44"/>
        <v>0.25915105688262596</v>
      </c>
    </row>
    <row r="291" spans="1:18" ht="12.75">
      <c r="A291" t="s">
        <v>452</v>
      </c>
      <c r="B291" s="116">
        <v>0.8027777777777777</v>
      </c>
      <c r="C291" s="116">
        <v>0.9791666666666666</v>
      </c>
      <c r="D291" s="116">
        <v>0.1875</v>
      </c>
      <c r="E291" s="116">
        <v>0.31666666666666665</v>
      </c>
      <c r="F291" t="s">
        <v>157</v>
      </c>
      <c r="H291" s="59">
        <f t="shared" si="37"/>
        <v>0.02083333333333337</v>
      </c>
      <c r="I291" s="234">
        <f t="shared" si="38"/>
        <v>0.17638888888888893</v>
      </c>
      <c r="J291" s="234">
        <f t="shared" si="39"/>
        <v>-0.12916666666666665</v>
      </c>
      <c r="K291" s="121">
        <f t="shared" si="40"/>
        <v>0.3055555555555556</v>
      </c>
      <c r="L291" s="233">
        <f t="shared" si="41"/>
        <v>0.20833333333333337</v>
      </c>
      <c r="M291" s="121">
        <f t="shared" si="36"/>
        <v>0.513888888888889</v>
      </c>
      <c r="N291" s="59">
        <f t="shared" si="42"/>
        <v>7.333333334506667</v>
      </c>
      <c r="O291" s="59">
        <f t="shared" si="42"/>
        <v>5.000000000800001</v>
      </c>
      <c r="P291" s="101">
        <f>Puissance_en_nominale*Simulation!N291+Puissance_en_economie*Simulation!O291</f>
        <v>459.7077505461431</v>
      </c>
      <c r="Q291" s="101">
        <f t="shared" si="43"/>
        <v>617.9000000988642</v>
      </c>
      <c r="R291" s="128">
        <f t="shared" si="44"/>
        <v>0.2560159403259594</v>
      </c>
    </row>
    <row r="292" spans="1:18" ht="12.75">
      <c r="A292" t="s">
        <v>453</v>
      </c>
      <c r="B292" s="116">
        <v>0.78125</v>
      </c>
      <c r="C292" s="116">
        <v>0.9583333333333334</v>
      </c>
      <c r="D292" s="116">
        <v>0.20833333333333334</v>
      </c>
      <c r="E292" s="116">
        <v>0.31666666666666665</v>
      </c>
      <c r="F292" t="s">
        <v>180</v>
      </c>
      <c r="H292" s="59">
        <f t="shared" si="37"/>
        <v>0.04166666666666663</v>
      </c>
      <c r="I292" s="234">
        <f t="shared" si="38"/>
        <v>0.17708333333333337</v>
      </c>
      <c r="J292" s="234">
        <f t="shared" si="39"/>
        <v>-0.10833333333333331</v>
      </c>
      <c r="K292" s="121">
        <f t="shared" si="40"/>
        <v>0.28541666666666665</v>
      </c>
      <c r="L292" s="233">
        <f t="shared" si="41"/>
        <v>0.24999999999999997</v>
      </c>
      <c r="M292" s="121">
        <f t="shared" si="36"/>
        <v>0.5354166666666667</v>
      </c>
      <c r="N292" s="59">
        <f t="shared" si="42"/>
        <v>6.850000001096</v>
      </c>
      <c r="O292" s="59">
        <f t="shared" si="42"/>
        <v>6.00000000096</v>
      </c>
      <c r="P292" s="101">
        <f>Puissance_en_nominale*Simulation!N292+Puissance_en_economie*Simulation!O292</f>
        <v>470.2060208691839</v>
      </c>
      <c r="Q292" s="101">
        <f t="shared" si="43"/>
        <v>643.7850001030057</v>
      </c>
      <c r="R292" s="128">
        <f t="shared" si="44"/>
        <v>0.2696225901598347</v>
      </c>
    </row>
    <row r="293" spans="1:18" ht="12.75">
      <c r="A293" t="s">
        <v>454</v>
      </c>
      <c r="B293" s="116">
        <v>0.78125</v>
      </c>
      <c r="C293" s="116">
        <v>0.9583333333333334</v>
      </c>
      <c r="D293" s="116">
        <v>0.20833333333333334</v>
      </c>
      <c r="E293" s="116">
        <v>0.29930555555555555</v>
      </c>
      <c r="F293" t="s">
        <v>180</v>
      </c>
      <c r="H293" s="59">
        <f t="shared" si="37"/>
        <v>0.04166666666666663</v>
      </c>
      <c r="I293" s="234">
        <f t="shared" si="38"/>
        <v>0.17708333333333337</v>
      </c>
      <c r="J293" s="234">
        <f t="shared" si="39"/>
        <v>-0.0909722222222222</v>
      </c>
      <c r="K293" s="121">
        <f t="shared" si="40"/>
        <v>0.2680555555555556</v>
      </c>
      <c r="L293" s="233">
        <f t="shared" si="41"/>
        <v>0.24999999999999997</v>
      </c>
      <c r="M293" s="121">
        <f t="shared" si="36"/>
        <v>0.5180555555555556</v>
      </c>
      <c r="N293" s="59">
        <f t="shared" si="42"/>
        <v>6.433333334362668</v>
      </c>
      <c r="O293" s="59">
        <f t="shared" si="42"/>
        <v>6.00000000096</v>
      </c>
      <c r="P293" s="101">
        <f>Puissance_en_nominale*Simulation!N293+Puissance_en_economie*Simulation!O293</f>
        <v>452.80361065846</v>
      </c>
      <c r="Q293" s="101">
        <f t="shared" si="43"/>
        <v>622.9100000996658</v>
      </c>
      <c r="R293" s="128">
        <f t="shared" si="44"/>
        <v>0.2730834139987939</v>
      </c>
    </row>
    <row r="294" spans="1:18" ht="12.75">
      <c r="A294" t="s">
        <v>455</v>
      </c>
      <c r="B294" s="116">
        <v>0.8020833333333334</v>
      </c>
      <c r="C294" s="116">
        <v>0.9791666666666666</v>
      </c>
      <c r="D294" s="116">
        <v>0.1875</v>
      </c>
      <c r="E294" s="116">
        <v>0.29930555555555555</v>
      </c>
      <c r="F294" t="s">
        <v>157</v>
      </c>
      <c r="H294" s="59">
        <f t="shared" si="37"/>
        <v>0.02083333333333337</v>
      </c>
      <c r="I294" s="234">
        <f t="shared" si="38"/>
        <v>0.17708333333333326</v>
      </c>
      <c r="J294" s="234">
        <f t="shared" si="39"/>
        <v>-0.11180555555555555</v>
      </c>
      <c r="K294" s="121">
        <f t="shared" si="40"/>
        <v>0.2888888888888888</v>
      </c>
      <c r="L294" s="233">
        <f t="shared" si="41"/>
        <v>0.20833333333333337</v>
      </c>
      <c r="M294" s="121">
        <f t="shared" si="36"/>
        <v>0.4972222222222222</v>
      </c>
      <c r="N294" s="59">
        <f t="shared" si="42"/>
        <v>6.933333334442665</v>
      </c>
      <c r="O294" s="59">
        <f t="shared" si="42"/>
        <v>5.000000000800001</v>
      </c>
      <c r="P294" s="101">
        <f>Puissance_en_nominale*Simulation!N294+Puissance_en_economie*Simulation!O294</f>
        <v>443.0014367438481</v>
      </c>
      <c r="Q294" s="101">
        <f t="shared" si="43"/>
        <v>597.8600000956576</v>
      </c>
      <c r="R294" s="128">
        <f t="shared" si="44"/>
        <v>0.25902144871212684</v>
      </c>
    </row>
    <row r="295" spans="1:18" ht="12.75">
      <c r="A295" t="s">
        <v>456</v>
      </c>
      <c r="B295" s="116">
        <v>0.8020833333333334</v>
      </c>
      <c r="C295" s="116">
        <v>0.9791666666666666</v>
      </c>
      <c r="D295" s="116">
        <v>0.1875</v>
      </c>
      <c r="E295" s="116">
        <v>0.29930555555555555</v>
      </c>
      <c r="F295" t="s">
        <v>157</v>
      </c>
      <c r="H295" s="59">
        <f t="shared" si="37"/>
        <v>0.02083333333333337</v>
      </c>
      <c r="I295" s="234">
        <f t="shared" si="38"/>
        <v>0.17708333333333326</v>
      </c>
      <c r="J295" s="234">
        <f t="shared" si="39"/>
        <v>-0.11180555555555555</v>
      </c>
      <c r="K295" s="121">
        <f t="shared" si="40"/>
        <v>0.2888888888888888</v>
      </c>
      <c r="L295" s="233">
        <f t="shared" si="41"/>
        <v>0.20833333333333337</v>
      </c>
      <c r="M295" s="121">
        <f t="shared" si="36"/>
        <v>0.4972222222222222</v>
      </c>
      <c r="N295" s="59">
        <f t="shared" si="42"/>
        <v>6.933333334442665</v>
      </c>
      <c r="O295" s="59">
        <f t="shared" si="42"/>
        <v>5.000000000800001</v>
      </c>
      <c r="P295" s="101">
        <f>Puissance_en_nominale*Simulation!N295+Puissance_en_economie*Simulation!O295</f>
        <v>443.0014367438481</v>
      </c>
      <c r="Q295" s="101">
        <f t="shared" si="43"/>
        <v>597.8600000956576</v>
      </c>
      <c r="R295" s="128">
        <f t="shared" si="44"/>
        <v>0.25902144871212684</v>
      </c>
    </row>
    <row r="296" spans="1:18" ht="12.75">
      <c r="A296" t="s">
        <v>457</v>
      </c>
      <c r="B296" s="116">
        <v>0.8020833333333334</v>
      </c>
      <c r="C296" s="116">
        <v>0.9791666666666666</v>
      </c>
      <c r="D296" s="116">
        <v>0.1875</v>
      </c>
      <c r="E296" s="116">
        <v>0.2986111111111111</v>
      </c>
      <c r="F296" t="s">
        <v>157</v>
      </c>
      <c r="H296" s="59">
        <f t="shared" si="37"/>
        <v>0.02083333333333337</v>
      </c>
      <c r="I296" s="234">
        <f t="shared" si="38"/>
        <v>0.17708333333333326</v>
      </c>
      <c r="J296" s="234">
        <f t="shared" si="39"/>
        <v>-0.1111111111111111</v>
      </c>
      <c r="K296" s="121">
        <f t="shared" si="40"/>
        <v>0.28819444444444436</v>
      </c>
      <c r="L296" s="233">
        <f t="shared" si="41"/>
        <v>0.20833333333333337</v>
      </c>
      <c r="M296" s="121">
        <f t="shared" si="36"/>
        <v>0.49652777777777773</v>
      </c>
      <c r="N296" s="59">
        <f t="shared" si="42"/>
        <v>6.916666667773332</v>
      </c>
      <c r="O296" s="59">
        <f t="shared" si="42"/>
        <v>5.000000000800001</v>
      </c>
      <c r="P296" s="101">
        <f>Puissance_en_nominale*Simulation!N296+Puissance_en_economie*Simulation!O296</f>
        <v>442.30534033541915</v>
      </c>
      <c r="Q296" s="101">
        <f t="shared" si="43"/>
        <v>597.0250000955241</v>
      </c>
      <c r="R296" s="128">
        <f t="shared" si="44"/>
        <v>0.25915105688262596</v>
      </c>
    </row>
    <row r="297" spans="1:18" ht="12.75">
      <c r="A297" t="s">
        <v>458</v>
      </c>
      <c r="B297" s="116">
        <v>0.8020833333333334</v>
      </c>
      <c r="C297" s="116">
        <v>0.9791666666666666</v>
      </c>
      <c r="D297" s="116">
        <v>0.1875</v>
      </c>
      <c r="E297" s="116">
        <v>0.2986111111111111</v>
      </c>
      <c r="F297" t="s">
        <v>157</v>
      </c>
      <c r="H297" s="59">
        <f t="shared" si="37"/>
        <v>0.02083333333333337</v>
      </c>
      <c r="I297" s="234">
        <f t="shared" si="38"/>
        <v>0.17708333333333326</v>
      </c>
      <c r="J297" s="234">
        <f t="shared" si="39"/>
        <v>-0.1111111111111111</v>
      </c>
      <c r="K297" s="121">
        <f t="shared" si="40"/>
        <v>0.28819444444444436</v>
      </c>
      <c r="L297" s="233">
        <f t="shared" si="41"/>
        <v>0.20833333333333337</v>
      </c>
      <c r="M297" s="121">
        <f t="shared" si="36"/>
        <v>0.49652777777777773</v>
      </c>
      <c r="N297" s="59">
        <f t="shared" si="42"/>
        <v>6.916666667773332</v>
      </c>
      <c r="O297" s="59">
        <f t="shared" si="42"/>
        <v>5.000000000800001</v>
      </c>
      <c r="P297" s="101">
        <f>Puissance_en_nominale*Simulation!N297+Puissance_en_economie*Simulation!O297</f>
        <v>442.30534033541915</v>
      </c>
      <c r="Q297" s="101">
        <f t="shared" si="43"/>
        <v>597.0250000955241</v>
      </c>
      <c r="R297" s="128">
        <f t="shared" si="44"/>
        <v>0.25915105688262596</v>
      </c>
    </row>
    <row r="298" spans="1:18" ht="12.75">
      <c r="A298" t="s">
        <v>459</v>
      </c>
      <c r="B298" s="116">
        <v>0.8013888888888889</v>
      </c>
      <c r="C298" s="116">
        <v>0.9791666666666666</v>
      </c>
      <c r="D298" s="116">
        <v>0.1875</v>
      </c>
      <c r="E298" s="116">
        <v>0.3159722222222222</v>
      </c>
      <c r="F298" t="s">
        <v>157</v>
      </c>
      <c r="H298" s="59">
        <f t="shared" si="37"/>
        <v>0.02083333333333337</v>
      </c>
      <c r="I298" s="234">
        <f t="shared" si="38"/>
        <v>0.1777777777777777</v>
      </c>
      <c r="J298" s="234">
        <f t="shared" si="39"/>
        <v>-0.1284722222222222</v>
      </c>
      <c r="K298" s="121">
        <f t="shared" si="40"/>
        <v>0.3062499999999999</v>
      </c>
      <c r="L298" s="233">
        <f t="shared" si="41"/>
        <v>0.20833333333333337</v>
      </c>
      <c r="M298" s="121">
        <f t="shared" si="36"/>
        <v>0.5145833333333333</v>
      </c>
      <c r="N298" s="59">
        <f t="shared" si="42"/>
        <v>7.3500000011759985</v>
      </c>
      <c r="O298" s="59">
        <f t="shared" si="42"/>
        <v>5.000000000800001</v>
      </c>
      <c r="P298" s="101">
        <f>Puissance_en_nominale*Simulation!N298+Puissance_en_economie*Simulation!O298</f>
        <v>460.40384695457203</v>
      </c>
      <c r="Q298" s="101">
        <f t="shared" si="43"/>
        <v>618.7350000989977</v>
      </c>
      <c r="R298" s="128">
        <f t="shared" si="44"/>
        <v>0.25589493582728096</v>
      </c>
    </row>
    <row r="299" spans="1:18" ht="12.75">
      <c r="A299" t="s">
        <v>460</v>
      </c>
      <c r="B299" s="116">
        <v>0.7805555555555556</v>
      </c>
      <c r="C299" s="116">
        <v>0.9583333333333334</v>
      </c>
      <c r="D299" s="116">
        <v>0.20833333333333334</v>
      </c>
      <c r="E299" s="116">
        <v>0.3159722222222222</v>
      </c>
      <c r="F299" t="s">
        <v>180</v>
      </c>
      <c r="H299" s="59">
        <f t="shared" si="37"/>
        <v>0.04166666666666663</v>
      </c>
      <c r="I299" s="234">
        <f t="shared" si="38"/>
        <v>0.1777777777777778</v>
      </c>
      <c r="J299" s="234">
        <f t="shared" si="39"/>
        <v>-0.10763888888888887</v>
      </c>
      <c r="K299" s="121">
        <f t="shared" si="40"/>
        <v>0.28541666666666665</v>
      </c>
      <c r="L299" s="233">
        <f t="shared" si="41"/>
        <v>0.24999999999999997</v>
      </c>
      <c r="M299" s="121">
        <f t="shared" si="36"/>
        <v>0.5354166666666667</v>
      </c>
      <c r="N299" s="59">
        <f t="shared" si="42"/>
        <v>6.850000001096</v>
      </c>
      <c r="O299" s="59">
        <f t="shared" si="42"/>
        <v>6.00000000096</v>
      </c>
      <c r="P299" s="101">
        <f>Puissance_en_nominale*Simulation!N299+Puissance_en_economie*Simulation!O299</f>
        <v>470.2060208691839</v>
      </c>
      <c r="Q299" s="101">
        <f t="shared" si="43"/>
        <v>643.7850001030057</v>
      </c>
      <c r="R299" s="128">
        <f t="shared" si="44"/>
        <v>0.2696225901598347</v>
      </c>
    </row>
    <row r="300" spans="1:18" ht="12.75">
      <c r="A300" t="s">
        <v>461</v>
      </c>
      <c r="B300" s="116">
        <v>0.7805555555555556</v>
      </c>
      <c r="C300" s="116">
        <v>0.9583333333333334</v>
      </c>
      <c r="D300" s="116">
        <v>0.20833333333333334</v>
      </c>
      <c r="E300" s="116">
        <v>0.2986111111111111</v>
      </c>
      <c r="F300" t="s">
        <v>180</v>
      </c>
      <c r="H300" s="59">
        <f t="shared" si="37"/>
        <v>0.04166666666666663</v>
      </c>
      <c r="I300" s="234">
        <f t="shared" si="38"/>
        <v>0.1777777777777778</v>
      </c>
      <c r="J300" s="234">
        <f t="shared" si="39"/>
        <v>-0.09027777777777776</v>
      </c>
      <c r="K300" s="121">
        <f t="shared" si="40"/>
        <v>0.2680555555555556</v>
      </c>
      <c r="L300" s="233">
        <f t="shared" si="41"/>
        <v>0.24999999999999997</v>
      </c>
      <c r="M300" s="121">
        <f t="shared" si="36"/>
        <v>0.5180555555555556</v>
      </c>
      <c r="N300" s="59">
        <f t="shared" si="42"/>
        <v>6.433333334362668</v>
      </c>
      <c r="O300" s="59">
        <f t="shared" si="42"/>
        <v>6.00000000096</v>
      </c>
      <c r="P300" s="101">
        <f>Puissance_en_nominale*Simulation!N300+Puissance_en_economie*Simulation!O300</f>
        <v>452.80361065846</v>
      </c>
      <c r="Q300" s="101">
        <f t="shared" si="43"/>
        <v>622.9100000996658</v>
      </c>
      <c r="R300" s="128">
        <f t="shared" si="44"/>
        <v>0.2730834139987939</v>
      </c>
    </row>
    <row r="301" spans="1:18" ht="12.75">
      <c r="A301" t="s">
        <v>462</v>
      </c>
      <c r="B301" s="116">
        <v>0.8013888888888889</v>
      </c>
      <c r="C301" s="116">
        <v>0.9791666666666666</v>
      </c>
      <c r="D301" s="116">
        <v>0.1875</v>
      </c>
      <c r="E301" s="116">
        <v>0.29791666666666666</v>
      </c>
      <c r="F301" t="s">
        <v>157</v>
      </c>
      <c r="H301" s="59">
        <f t="shared" si="37"/>
        <v>0.02083333333333337</v>
      </c>
      <c r="I301" s="234">
        <f t="shared" si="38"/>
        <v>0.1777777777777777</v>
      </c>
      <c r="J301" s="234">
        <f t="shared" si="39"/>
        <v>-0.11041666666666666</v>
      </c>
      <c r="K301" s="121">
        <f t="shared" si="40"/>
        <v>0.28819444444444436</v>
      </c>
      <c r="L301" s="233">
        <f t="shared" si="41"/>
        <v>0.20833333333333337</v>
      </c>
      <c r="M301" s="121">
        <f t="shared" si="36"/>
        <v>0.49652777777777773</v>
      </c>
      <c r="N301" s="59">
        <f t="shared" si="42"/>
        <v>6.916666667773332</v>
      </c>
      <c r="O301" s="59">
        <f t="shared" si="42"/>
        <v>5.000000000800001</v>
      </c>
      <c r="P301" s="101">
        <f>Puissance_en_nominale*Simulation!N301+Puissance_en_economie*Simulation!O301</f>
        <v>442.30534033541915</v>
      </c>
      <c r="Q301" s="101">
        <f t="shared" si="43"/>
        <v>597.0250000955241</v>
      </c>
      <c r="R301" s="128">
        <f t="shared" si="44"/>
        <v>0.25915105688262596</v>
      </c>
    </row>
    <row r="302" spans="1:18" ht="12.75">
      <c r="A302" t="s">
        <v>463</v>
      </c>
      <c r="B302" s="116">
        <v>0.8013888888888889</v>
      </c>
      <c r="C302" s="116">
        <v>0.9791666666666666</v>
      </c>
      <c r="D302" s="116">
        <v>0.1875</v>
      </c>
      <c r="E302" s="116">
        <v>0.29791666666666666</v>
      </c>
      <c r="F302" t="s">
        <v>157</v>
      </c>
      <c r="H302" s="59">
        <f t="shared" si="37"/>
        <v>0.02083333333333337</v>
      </c>
      <c r="I302" s="234">
        <f t="shared" si="38"/>
        <v>0.1777777777777777</v>
      </c>
      <c r="J302" s="234">
        <f t="shared" si="39"/>
        <v>-0.11041666666666666</v>
      </c>
      <c r="K302" s="121">
        <f t="shared" si="40"/>
        <v>0.28819444444444436</v>
      </c>
      <c r="L302" s="233">
        <f t="shared" si="41"/>
        <v>0.20833333333333337</v>
      </c>
      <c r="M302" s="121">
        <f t="shared" si="36"/>
        <v>0.49652777777777773</v>
      </c>
      <c r="N302" s="59">
        <f t="shared" si="42"/>
        <v>6.916666667773332</v>
      </c>
      <c r="O302" s="59">
        <f t="shared" si="42"/>
        <v>5.000000000800001</v>
      </c>
      <c r="P302" s="101">
        <f>Puissance_en_nominale*Simulation!N302+Puissance_en_economie*Simulation!O302</f>
        <v>442.30534033541915</v>
      </c>
      <c r="Q302" s="101">
        <f t="shared" si="43"/>
        <v>597.0250000955241</v>
      </c>
      <c r="R302" s="128">
        <f t="shared" si="44"/>
        <v>0.25915105688262596</v>
      </c>
    </row>
    <row r="303" spans="1:18" ht="12.75">
      <c r="A303" t="s">
        <v>464</v>
      </c>
      <c r="B303" s="116">
        <v>0.8006944444444444</v>
      </c>
      <c r="C303" s="116">
        <v>0.9791666666666666</v>
      </c>
      <c r="D303" s="116">
        <v>0.1875</v>
      </c>
      <c r="E303" s="116">
        <v>0.29791666666666666</v>
      </c>
      <c r="F303" t="s">
        <v>157</v>
      </c>
      <c r="H303" s="59">
        <f t="shared" si="37"/>
        <v>0.02083333333333337</v>
      </c>
      <c r="I303" s="234">
        <f t="shared" si="38"/>
        <v>0.17847222222222225</v>
      </c>
      <c r="J303" s="234">
        <f t="shared" si="39"/>
        <v>-0.11041666666666666</v>
      </c>
      <c r="K303" s="121">
        <f t="shared" si="40"/>
        <v>0.2888888888888889</v>
      </c>
      <c r="L303" s="233">
        <f t="shared" si="41"/>
        <v>0.20833333333333337</v>
      </c>
      <c r="M303" s="121">
        <f t="shared" si="36"/>
        <v>0.4972222222222223</v>
      </c>
      <c r="N303" s="59">
        <f t="shared" si="42"/>
        <v>6.9333333344426675</v>
      </c>
      <c r="O303" s="59">
        <f t="shared" si="42"/>
        <v>5.000000000800001</v>
      </c>
      <c r="P303" s="101">
        <f>Puissance_en_nominale*Simulation!N303+Puissance_en_economie*Simulation!O303</f>
        <v>443.0014367438482</v>
      </c>
      <c r="Q303" s="101">
        <f t="shared" si="43"/>
        <v>597.8600000956578</v>
      </c>
      <c r="R303" s="128">
        <f t="shared" si="44"/>
        <v>0.25902144871212684</v>
      </c>
    </row>
    <row r="304" spans="1:18" ht="12.75">
      <c r="A304" t="s">
        <v>465</v>
      </c>
      <c r="B304" s="116">
        <v>0.8006944444444444</v>
      </c>
      <c r="C304" s="116">
        <v>0.9791666666666666</v>
      </c>
      <c r="D304" s="116">
        <v>0.1875</v>
      </c>
      <c r="E304" s="116">
        <v>0.29791666666666666</v>
      </c>
      <c r="F304" t="s">
        <v>157</v>
      </c>
      <c r="H304" s="59">
        <f t="shared" si="37"/>
        <v>0.02083333333333337</v>
      </c>
      <c r="I304" s="234">
        <f t="shared" si="38"/>
        <v>0.17847222222222225</v>
      </c>
      <c r="J304" s="234">
        <f t="shared" si="39"/>
        <v>-0.11041666666666666</v>
      </c>
      <c r="K304" s="121">
        <f t="shared" si="40"/>
        <v>0.2888888888888889</v>
      </c>
      <c r="L304" s="233">
        <f t="shared" si="41"/>
        <v>0.20833333333333337</v>
      </c>
      <c r="M304" s="121">
        <f t="shared" si="36"/>
        <v>0.4972222222222223</v>
      </c>
      <c r="N304" s="59">
        <f t="shared" si="42"/>
        <v>6.9333333344426675</v>
      </c>
      <c r="O304" s="59">
        <f t="shared" si="42"/>
        <v>5.000000000800001</v>
      </c>
      <c r="P304" s="101">
        <f>Puissance_en_nominale*Simulation!N304+Puissance_en_economie*Simulation!O304</f>
        <v>443.0014367438482</v>
      </c>
      <c r="Q304" s="101">
        <f t="shared" si="43"/>
        <v>597.8600000956578</v>
      </c>
      <c r="R304" s="128">
        <f t="shared" si="44"/>
        <v>0.25902144871212684</v>
      </c>
    </row>
    <row r="305" spans="1:18" ht="12.75">
      <c r="A305" t="s">
        <v>466</v>
      </c>
      <c r="B305" s="116">
        <v>0.8006944444444444</v>
      </c>
      <c r="C305" s="116">
        <v>0.9791666666666666</v>
      </c>
      <c r="D305" s="116">
        <v>0.1875</v>
      </c>
      <c r="E305" s="116">
        <v>0.31527777777777777</v>
      </c>
      <c r="F305" t="s">
        <v>157</v>
      </c>
      <c r="H305" s="59">
        <f t="shared" si="37"/>
        <v>0.02083333333333337</v>
      </c>
      <c r="I305" s="234">
        <f t="shared" si="38"/>
        <v>0.17847222222222225</v>
      </c>
      <c r="J305" s="234">
        <f t="shared" si="39"/>
        <v>-0.12777777777777777</v>
      </c>
      <c r="K305" s="121">
        <f t="shared" si="40"/>
        <v>0.30625</v>
      </c>
      <c r="L305" s="233">
        <f t="shared" si="41"/>
        <v>0.20833333333333337</v>
      </c>
      <c r="M305" s="121">
        <f t="shared" si="36"/>
        <v>0.5145833333333334</v>
      </c>
      <c r="N305" s="59">
        <f t="shared" si="42"/>
        <v>7.350000001176001</v>
      </c>
      <c r="O305" s="59">
        <f t="shared" si="42"/>
        <v>5.000000000800001</v>
      </c>
      <c r="P305" s="101">
        <f>Puissance_en_nominale*Simulation!N305+Puissance_en_economie*Simulation!O305</f>
        <v>460.40384695457215</v>
      </c>
      <c r="Q305" s="101">
        <f t="shared" si="43"/>
        <v>618.7350000989978</v>
      </c>
      <c r="R305" s="128">
        <f t="shared" si="44"/>
        <v>0.25589493582728084</v>
      </c>
    </row>
    <row r="306" spans="1:18" ht="12.75">
      <c r="A306" t="s">
        <v>467</v>
      </c>
      <c r="B306" s="116">
        <v>0.779861111111111</v>
      </c>
      <c r="C306" s="116">
        <v>0.9583333333333334</v>
      </c>
      <c r="D306" s="116">
        <v>0.20833333333333334</v>
      </c>
      <c r="E306" s="116">
        <v>0.3145833333333333</v>
      </c>
      <c r="F306" t="s">
        <v>180</v>
      </c>
      <c r="H306" s="59">
        <f t="shared" si="37"/>
        <v>0.04166666666666663</v>
      </c>
      <c r="I306" s="234">
        <f t="shared" si="38"/>
        <v>0.17847222222222237</v>
      </c>
      <c r="J306" s="234">
        <f t="shared" si="39"/>
        <v>-0.10624999999999998</v>
      </c>
      <c r="K306" s="121">
        <f t="shared" si="40"/>
        <v>0.2847222222222223</v>
      </c>
      <c r="L306" s="233">
        <f t="shared" si="41"/>
        <v>0.24999999999999997</v>
      </c>
      <c r="M306" s="121">
        <f t="shared" si="36"/>
        <v>0.5347222222222223</v>
      </c>
      <c r="N306" s="59">
        <f t="shared" si="42"/>
        <v>6.833333334426669</v>
      </c>
      <c r="O306" s="59">
        <f t="shared" si="42"/>
        <v>6.00000000096</v>
      </c>
      <c r="P306" s="101">
        <f>Puissance_en_nominale*Simulation!N306+Puissance_en_economie*Simulation!O306</f>
        <v>469.509924460755</v>
      </c>
      <c r="Q306" s="101">
        <f t="shared" si="43"/>
        <v>642.9500001028722</v>
      </c>
      <c r="R306" s="128">
        <f t="shared" si="44"/>
        <v>0.2697567083200354</v>
      </c>
    </row>
    <row r="307" spans="1:18" ht="12.75">
      <c r="A307" t="s">
        <v>468</v>
      </c>
      <c r="B307" s="116">
        <v>0.7791666666666667</v>
      </c>
      <c r="C307" s="116">
        <v>0.9583333333333334</v>
      </c>
      <c r="D307" s="116">
        <v>0.20833333333333334</v>
      </c>
      <c r="E307" s="116">
        <v>0.2972222222222222</v>
      </c>
      <c r="F307" t="s">
        <v>180</v>
      </c>
      <c r="H307" s="59">
        <f t="shared" si="37"/>
        <v>0.04166666666666663</v>
      </c>
      <c r="I307" s="234">
        <f t="shared" si="38"/>
        <v>0.1791666666666667</v>
      </c>
      <c r="J307" s="234">
        <f t="shared" si="39"/>
        <v>-0.08888888888888888</v>
      </c>
      <c r="K307" s="121">
        <f t="shared" si="40"/>
        <v>0.2680555555555556</v>
      </c>
      <c r="L307" s="233">
        <f t="shared" si="41"/>
        <v>0.24999999999999997</v>
      </c>
      <c r="M307" s="121">
        <f t="shared" si="36"/>
        <v>0.5180555555555556</v>
      </c>
      <c r="N307" s="59">
        <f t="shared" si="42"/>
        <v>6.433333334362668</v>
      </c>
      <c r="O307" s="59">
        <f t="shared" si="42"/>
        <v>6.00000000096</v>
      </c>
      <c r="P307" s="101">
        <f>Puissance_en_nominale*Simulation!N307+Puissance_en_economie*Simulation!O307</f>
        <v>452.80361065846</v>
      </c>
      <c r="Q307" s="101">
        <f t="shared" si="43"/>
        <v>622.9100000996658</v>
      </c>
      <c r="R307" s="128">
        <f t="shared" si="44"/>
        <v>0.2730834139987939</v>
      </c>
    </row>
    <row r="308" spans="1:18" ht="12.75">
      <c r="A308" t="s">
        <v>469</v>
      </c>
      <c r="B308" s="116">
        <v>0.8</v>
      </c>
      <c r="C308" s="116">
        <v>0.9791666666666666</v>
      </c>
      <c r="D308" s="116">
        <v>0.1875</v>
      </c>
      <c r="E308" s="116">
        <v>0.2972222222222222</v>
      </c>
      <c r="F308" t="s">
        <v>157</v>
      </c>
      <c r="H308" s="59">
        <f t="shared" si="37"/>
        <v>0.02083333333333337</v>
      </c>
      <c r="I308" s="234">
        <f t="shared" si="38"/>
        <v>0.17916666666666659</v>
      </c>
      <c r="J308" s="234">
        <f t="shared" si="39"/>
        <v>-0.10972222222222222</v>
      </c>
      <c r="K308" s="121">
        <f t="shared" si="40"/>
        <v>0.2888888888888888</v>
      </c>
      <c r="L308" s="233">
        <f t="shared" si="41"/>
        <v>0.20833333333333337</v>
      </c>
      <c r="M308" s="121">
        <f t="shared" si="36"/>
        <v>0.4972222222222222</v>
      </c>
      <c r="N308" s="59">
        <f t="shared" si="42"/>
        <v>6.933333334442665</v>
      </c>
      <c r="O308" s="59">
        <f t="shared" si="42"/>
        <v>5.000000000800001</v>
      </c>
      <c r="P308" s="101">
        <f>Puissance_en_nominale*Simulation!N308+Puissance_en_economie*Simulation!O308</f>
        <v>443.0014367438481</v>
      </c>
      <c r="Q308" s="101">
        <f t="shared" si="43"/>
        <v>597.8600000956576</v>
      </c>
      <c r="R308" s="128">
        <f t="shared" si="44"/>
        <v>0.25902144871212684</v>
      </c>
    </row>
    <row r="309" spans="1:18" ht="12.75">
      <c r="A309" t="s">
        <v>470</v>
      </c>
      <c r="B309" s="116">
        <v>0.8</v>
      </c>
      <c r="C309" s="116">
        <v>0.9791666666666666</v>
      </c>
      <c r="D309" s="116">
        <v>0.1875</v>
      </c>
      <c r="E309" s="116">
        <v>0.2972222222222222</v>
      </c>
      <c r="F309" t="s">
        <v>157</v>
      </c>
      <c r="H309" s="59">
        <f t="shared" si="37"/>
        <v>0.02083333333333337</v>
      </c>
      <c r="I309" s="234">
        <f t="shared" si="38"/>
        <v>0.17916666666666659</v>
      </c>
      <c r="J309" s="234">
        <f t="shared" si="39"/>
        <v>-0.10972222222222222</v>
      </c>
      <c r="K309" s="121">
        <f t="shared" si="40"/>
        <v>0.2888888888888888</v>
      </c>
      <c r="L309" s="233">
        <f t="shared" si="41"/>
        <v>0.20833333333333337</v>
      </c>
      <c r="M309" s="121">
        <f t="shared" si="36"/>
        <v>0.4972222222222222</v>
      </c>
      <c r="N309" s="59">
        <f t="shared" si="42"/>
        <v>6.933333334442665</v>
      </c>
      <c r="O309" s="59">
        <f t="shared" si="42"/>
        <v>5.000000000800001</v>
      </c>
      <c r="P309" s="101">
        <f>Puissance_en_nominale*Simulation!N309+Puissance_en_economie*Simulation!O309</f>
        <v>443.0014367438481</v>
      </c>
      <c r="Q309" s="101">
        <f t="shared" si="43"/>
        <v>597.8600000956576</v>
      </c>
      <c r="R309" s="128">
        <f t="shared" si="44"/>
        <v>0.25902144871212684</v>
      </c>
    </row>
    <row r="310" spans="1:18" ht="12.75">
      <c r="A310" t="s">
        <v>471</v>
      </c>
      <c r="B310" s="116">
        <v>0.8</v>
      </c>
      <c r="C310" s="116">
        <v>0.9791666666666666</v>
      </c>
      <c r="D310" s="116">
        <v>0.1875</v>
      </c>
      <c r="E310" s="116">
        <v>0.2965277777777778</v>
      </c>
      <c r="F310" t="s">
        <v>157</v>
      </c>
      <c r="H310" s="59">
        <f t="shared" si="37"/>
        <v>0.02083333333333337</v>
      </c>
      <c r="I310" s="234">
        <f t="shared" si="38"/>
        <v>0.17916666666666659</v>
      </c>
      <c r="J310" s="234">
        <f t="shared" si="39"/>
        <v>-0.10902777777777778</v>
      </c>
      <c r="K310" s="121">
        <f t="shared" si="40"/>
        <v>0.28819444444444436</v>
      </c>
      <c r="L310" s="233">
        <f t="shared" si="41"/>
        <v>0.20833333333333337</v>
      </c>
      <c r="M310" s="121">
        <f t="shared" si="36"/>
        <v>0.49652777777777773</v>
      </c>
      <c r="N310" s="59">
        <f t="shared" si="42"/>
        <v>6.916666667773332</v>
      </c>
      <c r="O310" s="59">
        <f t="shared" si="42"/>
        <v>5.000000000800001</v>
      </c>
      <c r="P310" s="101">
        <f>Puissance_en_nominale*Simulation!N310+Puissance_en_economie*Simulation!O310</f>
        <v>442.30534033541915</v>
      </c>
      <c r="Q310" s="101">
        <f t="shared" si="43"/>
        <v>597.0250000955241</v>
      </c>
      <c r="R310" s="128">
        <f t="shared" si="44"/>
        <v>0.25915105688262596</v>
      </c>
    </row>
    <row r="311" spans="1:18" ht="12.75">
      <c r="A311" t="s">
        <v>472</v>
      </c>
      <c r="B311" s="116">
        <v>0.7993055555555556</v>
      </c>
      <c r="C311" s="116">
        <v>0.9791666666666666</v>
      </c>
      <c r="D311" s="116">
        <v>0.1875</v>
      </c>
      <c r="E311" s="116">
        <v>0.2965277777777778</v>
      </c>
      <c r="F311" t="s">
        <v>157</v>
      </c>
      <c r="H311" s="59">
        <f t="shared" si="37"/>
        <v>0.02083333333333337</v>
      </c>
      <c r="I311" s="234">
        <f t="shared" si="38"/>
        <v>0.17986111111111103</v>
      </c>
      <c r="J311" s="234">
        <f t="shared" si="39"/>
        <v>-0.10902777777777778</v>
      </c>
      <c r="K311" s="121">
        <f t="shared" si="40"/>
        <v>0.2888888888888888</v>
      </c>
      <c r="L311" s="233">
        <f t="shared" si="41"/>
        <v>0.20833333333333337</v>
      </c>
      <c r="M311" s="121">
        <f t="shared" si="36"/>
        <v>0.4972222222222222</v>
      </c>
      <c r="N311" s="59">
        <f t="shared" si="42"/>
        <v>6.933333334442665</v>
      </c>
      <c r="O311" s="59">
        <f t="shared" si="42"/>
        <v>5.000000000800001</v>
      </c>
      <c r="P311" s="101">
        <f>Puissance_en_nominale*Simulation!N311+Puissance_en_economie*Simulation!O311</f>
        <v>443.0014367438481</v>
      </c>
      <c r="Q311" s="101">
        <f t="shared" si="43"/>
        <v>597.8600000956576</v>
      </c>
      <c r="R311" s="128">
        <f t="shared" si="44"/>
        <v>0.25902144871212684</v>
      </c>
    </row>
    <row r="312" spans="1:18" ht="12.75">
      <c r="A312" t="s">
        <v>473</v>
      </c>
      <c r="B312" s="116">
        <v>0.7993055555555556</v>
      </c>
      <c r="C312" s="116">
        <v>0.9791666666666666</v>
      </c>
      <c r="D312" s="116">
        <v>0.1875</v>
      </c>
      <c r="E312" s="116">
        <v>0.3138888888888889</v>
      </c>
      <c r="F312" t="s">
        <v>157</v>
      </c>
      <c r="H312" s="59">
        <f t="shared" si="37"/>
        <v>0.02083333333333337</v>
      </c>
      <c r="I312" s="234">
        <f t="shared" si="38"/>
        <v>0.17986111111111103</v>
      </c>
      <c r="J312" s="234">
        <f t="shared" si="39"/>
        <v>-0.12638888888888888</v>
      </c>
      <c r="K312" s="121">
        <f t="shared" si="40"/>
        <v>0.3062499999999999</v>
      </c>
      <c r="L312" s="233">
        <f t="shared" si="41"/>
        <v>0.20833333333333337</v>
      </c>
      <c r="M312" s="121">
        <f t="shared" si="36"/>
        <v>0.5145833333333333</v>
      </c>
      <c r="N312" s="59">
        <f t="shared" si="42"/>
        <v>7.3500000011759985</v>
      </c>
      <c r="O312" s="59">
        <f t="shared" si="42"/>
        <v>5.000000000800001</v>
      </c>
      <c r="P312" s="101">
        <f>Puissance_en_nominale*Simulation!N312+Puissance_en_economie*Simulation!O312</f>
        <v>460.40384695457203</v>
      </c>
      <c r="Q312" s="101">
        <f t="shared" si="43"/>
        <v>618.7350000989977</v>
      </c>
      <c r="R312" s="128">
        <f t="shared" si="44"/>
        <v>0.25589493582728096</v>
      </c>
    </row>
    <row r="313" spans="1:18" ht="12.75">
      <c r="A313" t="s">
        <v>474</v>
      </c>
      <c r="B313" s="116">
        <v>0.7784722222222222</v>
      </c>
      <c r="C313" s="116">
        <v>0.9583333333333334</v>
      </c>
      <c r="D313" s="116">
        <v>0.20833333333333334</v>
      </c>
      <c r="E313" s="116">
        <v>0.31319444444444444</v>
      </c>
      <c r="F313" t="s">
        <v>180</v>
      </c>
      <c r="H313" s="59">
        <f t="shared" si="37"/>
        <v>0.04166666666666663</v>
      </c>
      <c r="I313" s="234">
        <f t="shared" si="38"/>
        <v>0.17986111111111114</v>
      </c>
      <c r="J313" s="234">
        <f t="shared" si="39"/>
        <v>-0.1048611111111111</v>
      </c>
      <c r="K313" s="121">
        <f t="shared" si="40"/>
        <v>0.2847222222222222</v>
      </c>
      <c r="L313" s="233">
        <f t="shared" si="41"/>
        <v>0.24999999999999997</v>
      </c>
      <c r="M313" s="121">
        <f t="shared" si="36"/>
        <v>0.5347222222222222</v>
      </c>
      <c r="N313" s="59">
        <f t="shared" si="42"/>
        <v>6.8333333344266665</v>
      </c>
      <c r="O313" s="59">
        <f t="shared" si="42"/>
        <v>6.00000000096</v>
      </c>
      <c r="P313" s="101">
        <f>Puissance_en_nominale*Simulation!N313+Puissance_en_economie*Simulation!O313</f>
        <v>469.50992446075486</v>
      </c>
      <c r="Q313" s="101">
        <f t="shared" si="43"/>
        <v>642.9500001028721</v>
      </c>
      <c r="R313" s="128">
        <f t="shared" si="44"/>
        <v>0.2697567083200354</v>
      </c>
    </row>
    <row r="314" spans="1:18" ht="12.75">
      <c r="A314" t="s">
        <v>475</v>
      </c>
      <c r="B314" s="116">
        <v>0.7777777777777778</v>
      </c>
      <c r="C314" s="116">
        <v>0.9583333333333334</v>
      </c>
      <c r="D314" s="116">
        <v>0.20833333333333334</v>
      </c>
      <c r="E314" s="116">
        <v>0.29583333333333334</v>
      </c>
      <c r="F314" t="s">
        <v>180</v>
      </c>
      <c r="H314" s="59">
        <f t="shared" si="37"/>
        <v>0.04166666666666663</v>
      </c>
      <c r="I314" s="234">
        <f t="shared" si="38"/>
        <v>0.18055555555555558</v>
      </c>
      <c r="J314" s="234">
        <f t="shared" si="39"/>
        <v>-0.0875</v>
      </c>
      <c r="K314" s="121">
        <f t="shared" si="40"/>
        <v>0.2680555555555556</v>
      </c>
      <c r="L314" s="233">
        <f t="shared" si="41"/>
        <v>0.24999999999999997</v>
      </c>
      <c r="M314" s="121">
        <f t="shared" si="36"/>
        <v>0.5180555555555556</v>
      </c>
      <c r="N314" s="59">
        <f t="shared" si="42"/>
        <v>6.433333334362668</v>
      </c>
      <c r="O314" s="59">
        <f t="shared" si="42"/>
        <v>6.00000000096</v>
      </c>
      <c r="P314" s="101">
        <f>Puissance_en_nominale*Simulation!N314+Puissance_en_economie*Simulation!O314</f>
        <v>452.80361065846</v>
      </c>
      <c r="Q314" s="101">
        <f t="shared" si="43"/>
        <v>622.9100000996658</v>
      </c>
      <c r="R314" s="128">
        <f t="shared" si="44"/>
        <v>0.2730834139987939</v>
      </c>
    </row>
    <row r="315" spans="1:18" ht="12.75">
      <c r="A315" t="s">
        <v>476</v>
      </c>
      <c r="B315" s="116">
        <v>0.7986111111111112</v>
      </c>
      <c r="C315" s="116">
        <v>0.9791666666666666</v>
      </c>
      <c r="D315" s="116">
        <v>0.1875</v>
      </c>
      <c r="E315" s="116">
        <v>0.29583333333333334</v>
      </c>
      <c r="F315" t="s">
        <v>157</v>
      </c>
      <c r="H315" s="59">
        <f t="shared" si="37"/>
        <v>0.02083333333333337</v>
      </c>
      <c r="I315" s="234">
        <f t="shared" si="38"/>
        <v>0.18055555555555547</v>
      </c>
      <c r="J315" s="234">
        <f t="shared" si="39"/>
        <v>-0.10833333333333334</v>
      </c>
      <c r="K315" s="121">
        <f t="shared" si="40"/>
        <v>0.2888888888888888</v>
      </c>
      <c r="L315" s="233">
        <f t="shared" si="41"/>
        <v>0.20833333333333337</v>
      </c>
      <c r="M315" s="121">
        <f t="shared" si="36"/>
        <v>0.4972222222222222</v>
      </c>
      <c r="N315" s="59">
        <f t="shared" si="42"/>
        <v>6.933333334442665</v>
      </c>
      <c r="O315" s="59">
        <f t="shared" si="42"/>
        <v>5.000000000800001</v>
      </c>
      <c r="P315" s="101">
        <f>Puissance_en_nominale*Simulation!N315+Puissance_en_economie*Simulation!O315</f>
        <v>443.0014367438481</v>
      </c>
      <c r="Q315" s="101">
        <f t="shared" si="43"/>
        <v>597.8600000956576</v>
      </c>
      <c r="R315" s="128">
        <f t="shared" si="44"/>
        <v>0.25902144871212684</v>
      </c>
    </row>
    <row r="316" spans="1:18" ht="12.75">
      <c r="A316" t="s">
        <v>477</v>
      </c>
      <c r="B316" s="116">
        <v>0.7986111111111112</v>
      </c>
      <c r="C316" s="116">
        <v>0.9791666666666666</v>
      </c>
      <c r="D316" s="116">
        <v>0.1875</v>
      </c>
      <c r="E316" s="116">
        <v>0.29583333333333334</v>
      </c>
      <c r="F316" t="s">
        <v>157</v>
      </c>
      <c r="H316" s="59">
        <f t="shared" si="37"/>
        <v>0.02083333333333337</v>
      </c>
      <c r="I316" s="234">
        <f t="shared" si="38"/>
        <v>0.18055555555555547</v>
      </c>
      <c r="J316" s="234">
        <f t="shared" si="39"/>
        <v>-0.10833333333333334</v>
      </c>
      <c r="K316" s="121">
        <f t="shared" si="40"/>
        <v>0.2888888888888888</v>
      </c>
      <c r="L316" s="233">
        <f t="shared" si="41"/>
        <v>0.20833333333333337</v>
      </c>
      <c r="M316" s="121">
        <f t="shared" si="36"/>
        <v>0.4972222222222222</v>
      </c>
      <c r="N316" s="59">
        <f t="shared" si="42"/>
        <v>6.933333334442665</v>
      </c>
      <c r="O316" s="59">
        <f t="shared" si="42"/>
        <v>5.000000000800001</v>
      </c>
      <c r="P316" s="101">
        <f>Puissance_en_nominale*Simulation!N316+Puissance_en_economie*Simulation!O316</f>
        <v>443.0014367438481</v>
      </c>
      <c r="Q316" s="101">
        <f t="shared" si="43"/>
        <v>597.8600000956576</v>
      </c>
      <c r="R316" s="128">
        <f t="shared" si="44"/>
        <v>0.25902144871212684</v>
      </c>
    </row>
    <row r="317" spans="1:18" ht="12.75">
      <c r="A317" t="s">
        <v>478</v>
      </c>
      <c r="B317" s="116">
        <v>0.7986111111111112</v>
      </c>
      <c r="C317" s="116">
        <v>0.9791666666666666</v>
      </c>
      <c r="D317" s="116">
        <v>0.1875</v>
      </c>
      <c r="E317" s="116">
        <v>0.2951388888888889</v>
      </c>
      <c r="F317" t="s">
        <v>157</v>
      </c>
      <c r="H317" s="59">
        <f t="shared" si="37"/>
        <v>0.02083333333333337</v>
      </c>
      <c r="I317" s="234">
        <f t="shared" si="38"/>
        <v>0.18055555555555547</v>
      </c>
      <c r="J317" s="234">
        <f t="shared" si="39"/>
        <v>-0.1076388888888889</v>
      </c>
      <c r="K317" s="121">
        <f t="shared" si="40"/>
        <v>0.28819444444444436</v>
      </c>
      <c r="L317" s="233">
        <f t="shared" si="41"/>
        <v>0.20833333333333337</v>
      </c>
      <c r="M317" s="121">
        <f t="shared" si="36"/>
        <v>0.49652777777777773</v>
      </c>
      <c r="N317" s="59">
        <f t="shared" si="42"/>
        <v>6.916666667773332</v>
      </c>
      <c r="O317" s="59">
        <f t="shared" si="42"/>
        <v>5.000000000800001</v>
      </c>
      <c r="P317" s="101">
        <f>Puissance_en_nominale*Simulation!N317+Puissance_en_economie*Simulation!O317</f>
        <v>442.30534033541915</v>
      </c>
      <c r="Q317" s="101">
        <f t="shared" si="43"/>
        <v>597.0250000955241</v>
      </c>
      <c r="R317" s="128">
        <f t="shared" si="44"/>
        <v>0.25915105688262596</v>
      </c>
    </row>
    <row r="318" spans="1:18" ht="12.75">
      <c r="A318" t="s">
        <v>479</v>
      </c>
      <c r="B318" s="116">
        <v>0.7979166666666666</v>
      </c>
      <c r="C318" s="116">
        <v>0.9791666666666666</v>
      </c>
      <c r="D318" s="116">
        <v>0.1875</v>
      </c>
      <c r="E318" s="116">
        <v>0.2951388888888889</v>
      </c>
      <c r="F318" t="s">
        <v>157</v>
      </c>
      <c r="H318" s="59">
        <f t="shared" si="37"/>
        <v>0.02083333333333337</v>
      </c>
      <c r="I318" s="234">
        <f t="shared" si="38"/>
        <v>0.18125000000000002</v>
      </c>
      <c r="J318" s="234">
        <f t="shared" si="39"/>
        <v>-0.1076388888888889</v>
      </c>
      <c r="K318" s="121">
        <f t="shared" si="40"/>
        <v>0.2888888888888889</v>
      </c>
      <c r="L318" s="233">
        <f t="shared" si="41"/>
        <v>0.20833333333333337</v>
      </c>
      <c r="M318" s="121">
        <f t="shared" si="36"/>
        <v>0.4972222222222223</v>
      </c>
      <c r="N318" s="59">
        <f t="shared" si="42"/>
        <v>6.9333333344426675</v>
      </c>
      <c r="O318" s="59">
        <f t="shared" si="42"/>
        <v>5.000000000800001</v>
      </c>
      <c r="P318" s="101">
        <f>Puissance_en_nominale*Simulation!N318+Puissance_en_economie*Simulation!O318</f>
        <v>443.0014367438482</v>
      </c>
      <c r="Q318" s="101">
        <f t="shared" si="43"/>
        <v>597.8600000956578</v>
      </c>
      <c r="R318" s="128">
        <f t="shared" si="44"/>
        <v>0.25902144871212684</v>
      </c>
    </row>
    <row r="319" spans="1:18" ht="12.75">
      <c r="A319" t="s">
        <v>480</v>
      </c>
      <c r="B319" s="116">
        <v>0.7979166666666666</v>
      </c>
      <c r="C319" s="116">
        <v>0.9791666666666666</v>
      </c>
      <c r="D319" s="116">
        <v>0.1875</v>
      </c>
      <c r="E319" s="116">
        <v>0.3125</v>
      </c>
      <c r="F319" t="s">
        <v>157</v>
      </c>
      <c r="H319" s="59">
        <f t="shared" si="37"/>
        <v>0.02083333333333337</v>
      </c>
      <c r="I319" s="234">
        <f t="shared" si="38"/>
        <v>0.18125000000000002</v>
      </c>
      <c r="J319" s="234">
        <f t="shared" si="39"/>
        <v>-0.125</v>
      </c>
      <c r="K319" s="121">
        <f t="shared" si="40"/>
        <v>0.30625</v>
      </c>
      <c r="L319" s="233">
        <f t="shared" si="41"/>
        <v>0.20833333333333337</v>
      </c>
      <c r="M319" s="121">
        <f t="shared" si="36"/>
        <v>0.5145833333333334</v>
      </c>
      <c r="N319" s="59">
        <f t="shared" si="42"/>
        <v>7.350000001176001</v>
      </c>
      <c r="O319" s="59">
        <f t="shared" si="42"/>
        <v>5.000000000800001</v>
      </c>
      <c r="P319" s="101">
        <f>Puissance_en_nominale*Simulation!N319+Puissance_en_economie*Simulation!O319</f>
        <v>460.40384695457215</v>
      </c>
      <c r="Q319" s="101">
        <f t="shared" si="43"/>
        <v>618.7350000989978</v>
      </c>
      <c r="R319" s="128">
        <f t="shared" si="44"/>
        <v>0.25589493582728084</v>
      </c>
    </row>
    <row r="320" spans="1:18" ht="12.75">
      <c r="A320" t="s">
        <v>481</v>
      </c>
      <c r="B320" s="116">
        <v>0.7770833333333332</v>
      </c>
      <c r="C320" s="116">
        <v>0.9583333333333334</v>
      </c>
      <c r="D320" s="116">
        <v>0.20833333333333334</v>
      </c>
      <c r="E320" s="116">
        <v>0.31180555555555556</v>
      </c>
      <c r="F320" t="s">
        <v>180</v>
      </c>
      <c r="H320" s="59">
        <f t="shared" si="37"/>
        <v>0.04166666666666663</v>
      </c>
      <c r="I320" s="234">
        <f t="shared" si="38"/>
        <v>0.18125000000000013</v>
      </c>
      <c r="J320" s="234">
        <f t="shared" si="39"/>
        <v>-0.10347222222222222</v>
      </c>
      <c r="K320" s="121">
        <f t="shared" si="40"/>
        <v>0.2847222222222223</v>
      </c>
      <c r="L320" s="233">
        <f t="shared" si="41"/>
        <v>0.24999999999999997</v>
      </c>
      <c r="M320" s="121">
        <f t="shared" si="36"/>
        <v>0.5347222222222223</v>
      </c>
      <c r="N320" s="59">
        <f t="shared" si="42"/>
        <v>6.833333334426669</v>
      </c>
      <c r="O320" s="59">
        <f t="shared" si="42"/>
        <v>6.00000000096</v>
      </c>
      <c r="P320" s="101">
        <f>Puissance_en_nominale*Simulation!N320+Puissance_en_economie*Simulation!O320</f>
        <v>469.509924460755</v>
      </c>
      <c r="Q320" s="101">
        <f t="shared" si="43"/>
        <v>642.9500001028722</v>
      </c>
      <c r="R320" s="128">
        <f t="shared" si="44"/>
        <v>0.2697567083200354</v>
      </c>
    </row>
    <row r="321" spans="1:18" ht="12.75">
      <c r="A321" t="s">
        <v>482</v>
      </c>
      <c r="B321" s="116">
        <v>0.7763888888888889</v>
      </c>
      <c r="C321" s="116">
        <v>0.9583333333333334</v>
      </c>
      <c r="D321" s="116">
        <v>0.20833333333333334</v>
      </c>
      <c r="E321" s="116">
        <v>0.29444444444444445</v>
      </c>
      <c r="F321" t="s">
        <v>180</v>
      </c>
      <c r="H321" s="59">
        <f t="shared" si="37"/>
        <v>0.04166666666666663</v>
      </c>
      <c r="I321" s="234">
        <f t="shared" si="38"/>
        <v>0.18194444444444446</v>
      </c>
      <c r="J321" s="234">
        <f t="shared" si="39"/>
        <v>-0.08611111111111111</v>
      </c>
      <c r="K321" s="121">
        <f t="shared" si="40"/>
        <v>0.2680555555555556</v>
      </c>
      <c r="L321" s="233">
        <f t="shared" si="41"/>
        <v>0.24999999999999997</v>
      </c>
      <c r="M321" s="121">
        <f t="shared" si="36"/>
        <v>0.5180555555555556</v>
      </c>
      <c r="N321" s="59">
        <f t="shared" si="42"/>
        <v>6.433333334362668</v>
      </c>
      <c r="O321" s="59">
        <f t="shared" si="42"/>
        <v>6.00000000096</v>
      </c>
      <c r="P321" s="101">
        <f>Puissance_en_nominale*Simulation!N321+Puissance_en_economie*Simulation!O321</f>
        <v>452.80361065846</v>
      </c>
      <c r="Q321" s="101">
        <f t="shared" si="43"/>
        <v>622.9100000996658</v>
      </c>
      <c r="R321" s="128">
        <f t="shared" si="44"/>
        <v>0.2730834139987939</v>
      </c>
    </row>
    <row r="322" spans="1:18" ht="12.75">
      <c r="A322" t="s">
        <v>483</v>
      </c>
      <c r="B322" s="116">
        <v>0.7972222222222222</v>
      </c>
      <c r="C322" s="116">
        <v>0.9791666666666666</v>
      </c>
      <c r="D322" s="116">
        <v>0.1875</v>
      </c>
      <c r="E322" s="116">
        <v>0.29444444444444445</v>
      </c>
      <c r="F322" t="s">
        <v>157</v>
      </c>
      <c r="H322" s="59">
        <f t="shared" si="37"/>
        <v>0.02083333333333337</v>
      </c>
      <c r="I322" s="234">
        <f t="shared" si="38"/>
        <v>0.18194444444444446</v>
      </c>
      <c r="J322" s="234">
        <f t="shared" si="39"/>
        <v>-0.10694444444444445</v>
      </c>
      <c r="K322" s="121">
        <f t="shared" si="40"/>
        <v>0.2888888888888889</v>
      </c>
      <c r="L322" s="233">
        <f t="shared" si="41"/>
        <v>0.20833333333333337</v>
      </c>
      <c r="M322" s="121">
        <f t="shared" si="36"/>
        <v>0.4972222222222223</v>
      </c>
      <c r="N322" s="59">
        <f t="shared" si="42"/>
        <v>6.9333333344426675</v>
      </c>
      <c r="O322" s="59">
        <f t="shared" si="42"/>
        <v>5.000000000800001</v>
      </c>
      <c r="P322" s="101">
        <f>Puissance_en_nominale*Simulation!N322+Puissance_en_economie*Simulation!O322</f>
        <v>443.0014367438482</v>
      </c>
      <c r="Q322" s="101">
        <f t="shared" si="43"/>
        <v>597.8600000956578</v>
      </c>
      <c r="R322" s="128">
        <f t="shared" si="44"/>
        <v>0.25902144871212684</v>
      </c>
    </row>
    <row r="323" spans="1:18" ht="12.75">
      <c r="A323" t="s">
        <v>484</v>
      </c>
      <c r="B323" s="116">
        <v>0.7972222222222222</v>
      </c>
      <c r="C323" s="116">
        <v>0.9791666666666666</v>
      </c>
      <c r="D323" s="116">
        <v>0.1875</v>
      </c>
      <c r="E323" s="116">
        <v>0.29444444444444445</v>
      </c>
      <c r="F323" t="s">
        <v>157</v>
      </c>
      <c r="H323" s="59">
        <f t="shared" si="37"/>
        <v>0.02083333333333337</v>
      </c>
      <c r="I323" s="234">
        <f t="shared" si="38"/>
        <v>0.18194444444444446</v>
      </c>
      <c r="J323" s="234">
        <f t="shared" si="39"/>
        <v>-0.10694444444444445</v>
      </c>
      <c r="K323" s="121">
        <f t="shared" si="40"/>
        <v>0.2888888888888889</v>
      </c>
      <c r="L323" s="233">
        <f t="shared" si="41"/>
        <v>0.20833333333333337</v>
      </c>
      <c r="M323" s="121">
        <f t="shared" si="36"/>
        <v>0.4972222222222223</v>
      </c>
      <c r="N323" s="59">
        <f t="shared" si="42"/>
        <v>6.9333333344426675</v>
      </c>
      <c r="O323" s="59">
        <f t="shared" si="42"/>
        <v>5.000000000800001</v>
      </c>
      <c r="P323" s="101">
        <f>Puissance_en_nominale*Simulation!N323+Puissance_en_economie*Simulation!O323</f>
        <v>443.0014367438482</v>
      </c>
      <c r="Q323" s="101">
        <f t="shared" si="43"/>
        <v>597.8600000956578</v>
      </c>
      <c r="R323" s="128">
        <f t="shared" si="44"/>
        <v>0.25902144871212684</v>
      </c>
    </row>
    <row r="324" spans="1:18" ht="12.75">
      <c r="A324" t="s">
        <v>485</v>
      </c>
      <c r="B324" s="116">
        <v>0.7972222222222222</v>
      </c>
      <c r="C324" s="116">
        <v>0.9791666666666666</v>
      </c>
      <c r="D324" s="116">
        <v>0.1875</v>
      </c>
      <c r="E324" s="116">
        <v>0.29375</v>
      </c>
      <c r="F324" t="s">
        <v>157</v>
      </c>
      <c r="H324" s="59">
        <f t="shared" si="37"/>
        <v>0.02083333333333337</v>
      </c>
      <c r="I324" s="234">
        <f t="shared" si="38"/>
        <v>0.18194444444444446</v>
      </c>
      <c r="J324" s="234">
        <f t="shared" si="39"/>
        <v>-0.10625000000000001</v>
      </c>
      <c r="K324" s="121">
        <f t="shared" si="40"/>
        <v>0.2881944444444445</v>
      </c>
      <c r="L324" s="233">
        <f t="shared" si="41"/>
        <v>0.20833333333333337</v>
      </c>
      <c r="M324" s="121">
        <f t="shared" si="36"/>
        <v>0.49652777777777785</v>
      </c>
      <c r="N324" s="59">
        <f t="shared" si="42"/>
        <v>6.916666667773335</v>
      </c>
      <c r="O324" s="59">
        <f t="shared" si="42"/>
        <v>5.000000000800001</v>
      </c>
      <c r="P324" s="101">
        <f>Puissance_en_nominale*Simulation!N324+Puissance_en_economie*Simulation!O324</f>
        <v>442.30534033541926</v>
      </c>
      <c r="Q324" s="101">
        <f t="shared" si="43"/>
        <v>597.0250000955242</v>
      </c>
      <c r="R324" s="128">
        <f t="shared" si="44"/>
        <v>0.25915105688262596</v>
      </c>
    </row>
    <row r="325" spans="1:18" ht="12.75">
      <c r="A325" t="s">
        <v>486</v>
      </c>
      <c r="B325" s="116">
        <v>0.7965277777777778</v>
      </c>
      <c r="C325" s="116">
        <v>0.9791666666666666</v>
      </c>
      <c r="D325" s="116">
        <v>0.1875</v>
      </c>
      <c r="E325" s="116">
        <v>0.29375</v>
      </c>
      <c r="F325" t="s">
        <v>157</v>
      </c>
      <c r="H325" s="59">
        <f t="shared" si="37"/>
        <v>0.02083333333333337</v>
      </c>
      <c r="I325" s="234">
        <f t="shared" si="38"/>
        <v>0.1826388888888888</v>
      </c>
      <c r="J325" s="234">
        <f t="shared" si="39"/>
        <v>-0.10625000000000001</v>
      </c>
      <c r="K325" s="121">
        <f t="shared" si="40"/>
        <v>0.2888888888888888</v>
      </c>
      <c r="L325" s="233">
        <f t="shared" si="41"/>
        <v>0.20833333333333337</v>
      </c>
      <c r="M325" s="121">
        <f t="shared" si="36"/>
        <v>0.4972222222222222</v>
      </c>
      <c r="N325" s="59">
        <f t="shared" si="42"/>
        <v>6.933333334442665</v>
      </c>
      <c r="O325" s="59">
        <f t="shared" si="42"/>
        <v>5.000000000800001</v>
      </c>
      <c r="P325" s="101">
        <f>Puissance_en_nominale*Simulation!N325+Puissance_en_economie*Simulation!O325</f>
        <v>443.0014367438481</v>
      </c>
      <c r="Q325" s="101">
        <f t="shared" si="43"/>
        <v>597.8600000956576</v>
      </c>
      <c r="R325" s="128">
        <f t="shared" si="44"/>
        <v>0.25902144871212684</v>
      </c>
    </row>
    <row r="326" spans="1:18" ht="12.75">
      <c r="A326" t="s">
        <v>487</v>
      </c>
      <c r="B326" s="116">
        <v>0.7965277777777778</v>
      </c>
      <c r="C326" s="116">
        <v>0.9791666666666666</v>
      </c>
      <c r="D326" s="116">
        <v>0.1875</v>
      </c>
      <c r="E326" s="116">
        <v>0.3111111111111111</v>
      </c>
      <c r="F326" t="s">
        <v>157</v>
      </c>
      <c r="H326" s="59">
        <f t="shared" si="37"/>
        <v>0.02083333333333337</v>
      </c>
      <c r="I326" s="234">
        <f t="shared" si="38"/>
        <v>0.1826388888888888</v>
      </c>
      <c r="J326" s="234">
        <f t="shared" si="39"/>
        <v>-0.12361111111111112</v>
      </c>
      <c r="K326" s="121">
        <f t="shared" si="40"/>
        <v>0.3062499999999999</v>
      </c>
      <c r="L326" s="233">
        <f t="shared" si="41"/>
        <v>0.20833333333333337</v>
      </c>
      <c r="M326" s="121">
        <f t="shared" si="36"/>
        <v>0.5145833333333333</v>
      </c>
      <c r="N326" s="59">
        <f t="shared" si="42"/>
        <v>7.3500000011759985</v>
      </c>
      <c r="O326" s="59">
        <f t="shared" si="42"/>
        <v>5.000000000800001</v>
      </c>
      <c r="P326" s="101">
        <f>Puissance_en_nominale*Simulation!N326+Puissance_en_economie*Simulation!O326</f>
        <v>460.40384695457203</v>
      </c>
      <c r="Q326" s="101">
        <f t="shared" si="43"/>
        <v>618.7350000989977</v>
      </c>
      <c r="R326" s="128">
        <f t="shared" si="44"/>
        <v>0.25589493582728096</v>
      </c>
    </row>
    <row r="327" spans="1:18" ht="12.75">
      <c r="A327" t="s">
        <v>488</v>
      </c>
      <c r="B327" s="116">
        <v>0.7756944444444445</v>
      </c>
      <c r="C327" s="116">
        <v>0.9583333333333334</v>
      </c>
      <c r="D327" s="116">
        <v>0.20833333333333334</v>
      </c>
      <c r="E327" s="116">
        <v>0.3520833333333333</v>
      </c>
      <c r="F327" t="s">
        <v>180</v>
      </c>
      <c r="H327" s="59">
        <f t="shared" si="37"/>
        <v>0.04166666666666663</v>
      </c>
      <c r="I327" s="234">
        <f t="shared" si="38"/>
        <v>0.1826388888888889</v>
      </c>
      <c r="J327" s="234">
        <f t="shared" si="39"/>
        <v>-0.14374999999999996</v>
      </c>
      <c r="K327" s="121">
        <f t="shared" si="40"/>
        <v>0.32638888888888884</v>
      </c>
      <c r="L327" s="233">
        <f t="shared" si="41"/>
        <v>0.24999999999999997</v>
      </c>
      <c r="M327" s="121">
        <f t="shared" si="36"/>
        <v>0.5763888888888888</v>
      </c>
      <c r="N327" s="59">
        <f t="shared" si="42"/>
        <v>7.833333334586666</v>
      </c>
      <c r="O327" s="59">
        <f t="shared" si="42"/>
        <v>6.00000000096</v>
      </c>
      <c r="P327" s="101">
        <f>Puissance_en_nominale*Simulation!N327+Puissance_en_economie*Simulation!O327</f>
        <v>511.2757089664922</v>
      </c>
      <c r="Q327" s="101">
        <f t="shared" si="43"/>
        <v>693.050000110888</v>
      </c>
      <c r="R327" s="128">
        <f t="shared" si="44"/>
        <v>0.2622816407406565</v>
      </c>
    </row>
    <row r="328" spans="1:18" ht="12.75">
      <c r="A328" t="s">
        <v>489</v>
      </c>
      <c r="B328" s="116">
        <v>0.8166666666666668</v>
      </c>
      <c r="C328" s="116">
        <v>0.9583333333333334</v>
      </c>
      <c r="D328" s="116">
        <v>0.20833333333333334</v>
      </c>
      <c r="E328" s="116">
        <v>0.3347222222222222</v>
      </c>
      <c r="F328" t="s">
        <v>180</v>
      </c>
      <c r="H328" s="59">
        <f t="shared" si="37"/>
        <v>0.04166666666666663</v>
      </c>
      <c r="I328" s="234">
        <f t="shared" si="38"/>
        <v>0.1416666666666666</v>
      </c>
      <c r="J328" s="234">
        <f t="shared" si="39"/>
        <v>-0.12638888888888886</v>
      </c>
      <c r="K328" s="121">
        <f t="shared" si="40"/>
        <v>0.2680555555555555</v>
      </c>
      <c r="L328" s="233">
        <f t="shared" si="41"/>
        <v>0.24999999999999997</v>
      </c>
      <c r="M328" s="121">
        <f t="shared" si="36"/>
        <v>0.5180555555555555</v>
      </c>
      <c r="N328" s="59">
        <f t="shared" si="42"/>
        <v>6.433333334362666</v>
      </c>
      <c r="O328" s="59">
        <f t="shared" si="42"/>
        <v>6.00000000096</v>
      </c>
      <c r="P328" s="101">
        <f>Puissance_en_nominale*Simulation!N328+Puissance_en_economie*Simulation!O328</f>
        <v>452.8036106584599</v>
      </c>
      <c r="Q328" s="101">
        <f t="shared" si="43"/>
        <v>622.9100000996656</v>
      </c>
      <c r="R328" s="128">
        <f t="shared" si="44"/>
        <v>0.2730834139987939</v>
      </c>
    </row>
    <row r="329" spans="1:18" ht="12.75">
      <c r="A329" t="s">
        <v>490</v>
      </c>
      <c r="B329" s="116">
        <v>0.8375</v>
      </c>
      <c r="C329" s="116">
        <v>0.9791666666666666</v>
      </c>
      <c r="D329" s="116">
        <v>0.1875</v>
      </c>
      <c r="E329" s="116">
        <v>0.3347222222222222</v>
      </c>
      <c r="F329" t="s">
        <v>157</v>
      </c>
      <c r="H329" s="59">
        <f t="shared" si="37"/>
        <v>0.02083333333333337</v>
      </c>
      <c r="I329" s="234">
        <f t="shared" si="38"/>
        <v>0.1416666666666666</v>
      </c>
      <c r="J329" s="234">
        <f t="shared" si="39"/>
        <v>-0.1472222222222222</v>
      </c>
      <c r="K329" s="121">
        <f t="shared" si="40"/>
        <v>0.2888888888888888</v>
      </c>
      <c r="L329" s="233">
        <f t="shared" si="41"/>
        <v>0.20833333333333337</v>
      </c>
      <c r="M329" s="121">
        <f t="shared" si="36"/>
        <v>0.4972222222222222</v>
      </c>
      <c r="N329" s="59">
        <f t="shared" si="42"/>
        <v>6.933333334442665</v>
      </c>
      <c r="O329" s="59">
        <f t="shared" si="42"/>
        <v>5.000000000800001</v>
      </c>
      <c r="P329" s="101">
        <f>Puissance_en_nominale*Simulation!N329+Puissance_en_economie*Simulation!O329</f>
        <v>443.0014367438481</v>
      </c>
      <c r="Q329" s="101">
        <f t="shared" si="43"/>
        <v>597.8600000956576</v>
      </c>
      <c r="R329" s="128">
        <f t="shared" si="44"/>
        <v>0.25902144871212684</v>
      </c>
    </row>
    <row r="330" spans="1:18" ht="12.75">
      <c r="A330" t="s">
        <v>491</v>
      </c>
      <c r="B330" s="116">
        <v>0.8375</v>
      </c>
      <c r="C330" s="116">
        <v>0.9791666666666666</v>
      </c>
      <c r="D330" s="116">
        <v>0.1875</v>
      </c>
      <c r="E330" s="116">
        <v>0.3340277777777778</v>
      </c>
      <c r="F330" t="s">
        <v>157</v>
      </c>
      <c r="H330" s="59">
        <f t="shared" si="37"/>
        <v>0.02083333333333337</v>
      </c>
      <c r="I330" s="234">
        <f t="shared" si="38"/>
        <v>0.1416666666666666</v>
      </c>
      <c r="J330" s="234">
        <f t="shared" si="39"/>
        <v>-0.1465277777777778</v>
      </c>
      <c r="K330" s="121">
        <f t="shared" si="40"/>
        <v>0.2881944444444444</v>
      </c>
      <c r="L330" s="233">
        <f t="shared" si="41"/>
        <v>0.20833333333333337</v>
      </c>
      <c r="M330" s="121">
        <f t="shared" si="36"/>
        <v>0.4965277777777778</v>
      </c>
      <c r="N330" s="59">
        <f t="shared" si="42"/>
        <v>6.916666667773333</v>
      </c>
      <c r="O330" s="59">
        <f t="shared" si="42"/>
        <v>5.000000000800001</v>
      </c>
      <c r="P330" s="101">
        <f>Puissance_en_nominale*Simulation!N330+Puissance_en_economie*Simulation!O330</f>
        <v>442.30534033541915</v>
      </c>
      <c r="Q330" s="101">
        <f t="shared" si="43"/>
        <v>597.0250000955242</v>
      </c>
      <c r="R330" s="128">
        <f t="shared" si="44"/>
        <v>0.2591510568826261</v>
      </c>
    </row>
    <row r="331" spans="1:18" ht="12.75">
      <c r="A331" t="s">
        <v>492</v>
      </c>
      <c r="B331" s="116">
        <v>0.8368055555555555</v>
      </c>
      <c r="C331" s="116">
        <v>0.9791666666666666</v>
      </c>
      <c r="D331" s="116">
        <v>0.1875</v>
      </c>
      <c r="E331" s="116">
        <v>0.3340277777777778</v>
      </c>
      <c r="F331" t="s">
        <v>157</v>
      </c>
      <c r="H331" s="59">
        <f t="shared" si="37"/>
        <v>0.02083333333333337</v>
      </c>
      <c r="I331" s="234">
        <f t="shared" si="38"/>
        <v>0.14236111111111116</v>
      </c>
      <c r="J331" s="234">
        <f t="shared" si="39"/>
        <v>-0.1465277777777778</v>
      </c>
      <c r="K331" s="121">
        <f t="shared" si="40"/>
        <v>0.288888888888889</v>
      </c>
      <c r="L331" s="233">
        <f t="shared" si="41"/>
        <v>0.20833333333333337</v>
      </c>
      <c r="M331" s="121">
        <f t="shared" si="36"/>
        <v>0.49722222222222234</v>
      </c>
      <c r="N331" s="59">
        <f t="shared" si="42"/>
        <v>6.933333334442669</v>
      </c>
      <c r="O331" s="59">
        <f t="shared" si="42"/>
        <v>5.000000000800001</v>
      </c>
      <c r="P331" s="101">
        <f>Puissance_en_nominale*Simulation!N331+Puissance_en_economie*Simulation!O331</f>
        <v>443.0014367438482</v>
      </c>
      <c r="Q331" s="101">
        <f t="shared" si="43"/>
        <v>597.8600000956579</v>
      </c>
      <c r="R331" s="128">
        <f t="shared" si="44"/>
        <v>0.25902144871212707</v>
      </c>
    </row>
    <row r="332" spans="1:18" ht="12.75">
      <c r="A332" t="s">
        <v>493</v>
      </c>
      <c r="B332" s="116">
        <v>0.8368055555555555</v>
      </c>
      <c r="C332" s="116">
        <v>0.9791666666666666</v>
      </c>
      <c r="D332" s="116">
        <v>0.1875</v>
      </c>
      <c r="E332" s="116">
        <v>0.3340277777777778</v>
      </c>
      <c r="F332" t="s">
        <v>157</v>
      </c>
      <c r="H332" s="59">
        <f t="shared" si="37"/>
        <v>0.02083333333333337</v>
      </c>
      <c r="I332" s="234">
        <f t="shared" si="38"/>
        <v>0.14236111111111116</v>
      </c>
      <c r="J332" s="234">
        <f t="shared" si="39"/>
        <v>-0.1465277777777778</v>
      </c>
      <c r="K332" s="121">
        <f t="shared" si="40"/>
        <v>0.288888888888889</v>
      </c>
      <c r="L332" s="233">
        <f t="shared" si="41"/>
        <v>0.20833333333333337</v>
      </c>
      <c r="M332" s="121">
        <f t="shared" si="36"/>
        <v>0.49722222222222234</v>
      </c>
      <c r="N332" s="59">
        <f t="shared" si="42"/>
        <v>6.933333334442669</v>
      </c>
      <c r="O332" s="59">
        <f t="shared" si="42"/>
        <v>5.000000000800001</v>
      </c>
      <c r="P332" s="101">
        <f>Puissance_en_nominale*Simulation!N332+Puissance_en_economie*Simulation!O332</f>
        <v>443.0014367438482</v>
      </c>
      <c r="Q332" s="101">
        <f t="shared" si="43"/>
        <v>597.8600000956579</v>
      </c>
      <c r="R332" s="128">
        <f t="shared" si="44"/>
        <v>0.25902144871212707</v>
      </c>
    </row>
    <row r="333" spans="1:18" ht="12.75">
      <c r="A333" t="s">
        <v>494</v>
      </c>
      <c r="B333" s="116">
        <v>0.8368055555555555</v>
      </c>
      <c r="C333" s="116">
        <v>0.9791666666666666</v>
      </c>
      <c r="D333" s="116">
        <v>0.1875</v>
      </c>
      <c r="E333" s="116">
        <v>0.3513888888888889</v>
      </c>
      <c r="F333" t="s">
        <v>157</v>
      </c>
      <c r="H333" s="59">
        <f t="shared" si="37"/>
        <v>0.02083333333333337</v>
      </c>
      <c r="I333" s="234">
        <f t="shared" si="38"/>
        <v>0.14236111111111116</v>
      </c>
      <c r="J333" s="234">
        <f t="shared" si="39"/>
        <v>-0.16388888888888892</v>
      </c>
      <c r="K333" s="121">
        <f t="shared" si="40"/>
        <v>0.3062500000000001</v>
      </c>
      <c r="L333" s="233">
        <f t="shared" si="41"/>
        <v>0.20833333333333337</v>
      </c>
      <c r="M333" s="121">
        <f t="shared" si="36"/>
        <v>0.5145833333333334</v>
      </c>
      <c r="N333" s="59">
        <f t="shared" si="42"/>
        <v>7.350000001176002</v>
      </c>
      <c r="O333" s="59">
        <f t="shared" si="42"/>
        <v>5.000000000800001</v>
      </c>
      <c r="P333" s="101">
        <f>Puissance_en_nominale*Simulation!N333+Puissance_en_economie*Simulation!O333</f>
        <v>460.40384695457215</v>
      </c>
      <c r="Q333" s="101">
        <f t="shared" si="43"/>
        <v>618.7350000989978</v>
      </c>
      <c r="R333" s="128">
        <f t="shared" si="44"/>
        <v>0.25589493582728084</v>
      </c>
    </row>
    <row r="334" spans="1:18" ht="12.75">
      <c r="A334" t="s">
        <v>495</v>
      </c>
      <c r="B334" s="116">
        <v>0.8159722222222222</v>
      </c>
      <c r="C334" s="116">
        <v>0.9583333333333334</v>
      </c>
      <c r="D334" s="116">
        <v>0.20833333333333334</v>
      </c>
      <c r="E334" s="116">
        <v>0.3506944444444444</v>
      </c>
      <c r="F334" t="s">
        <v>180</v>
      </c>
      <c r="H334" s="59">
        <f t="shared" si="37"/>
        <v>0.04166666666666663</v>
      </c>
      <c r="I334" s="234">
        <f t="shared" si="38"/>
        <v>0.14236111111111116</v>
      </c>
      <c r="J334" s="234">
        <f t="shared" si="39"/>
        <v>-0.14236111111111108</v>
      </c>
      <c r="K334" s="121">
        <f t="shared" si="40"/>
        <v>0.2847222222222222</v>
      </c>
      <c r="L334" s="233">
        <f t="shared" si="41"/>
        <v>0.24999999999999997</v>
      </c>
      <c r="M334" s="121">
        <f t="shared" si="36"/>
        <v>0.5347222222222222</v>
      </c>
      <c r="N334" s="59">
        <f t="shared" si="42"/>
        <v>6.8333333344266665</v>
      </c>
      <c r="O334" s="59">
        <f t="shared" si="42"/>
        <v>6.00000000096</v>
      </c>
      <c r="P334" s="101">
        <f>Puissance_en_nominale*Simulation!N334+Puissance_en_economie*Simulation!O334</f>
        <v>469.50992446075486</v>
      </c>
      <c r="Q334" s="101">
        <f t="shared" si="43"/>
        <v>642.9500001028721</v>
      </c>
      <c r="R334" s="128">
        <f t="shared" si="44"/>
        <v>0.2697567083200354</v>
      </c>
    </row>
    <row r="335" spans="1:18" ht="12.75">
      <c r="A335" t="s">
        <v>496</v>
      </c>
      <c r="B335" s="116">
        <v>0.8152777777777778</v>
      </c>
      <c r="C335" s="116">
        <v>0.9583333333333334</v>
      </c>
      <c r="D335" s="116">
        <v>0.20833333333333334</v>
      </c>
      <c r="E335" s="116">
        <v>0.3333333333333333</v>
      </c>
      <c r="F335" t="s">
        <v>180</v>
      </c>
      <c r="H335" s="59">
        <f t="shared" si="37"/>
        <v>0.04166666666666663</v>
      </c>
      <c r="I335" s="234">
        <f t="shared" si="38"/>
        <v>0.1430555555555556</v>
      </c>
      <c r="J335" s="234">
        <f t="shared" si="39"/>
        <v>-0.12499999999999997</v>
      </c>
      <c r="K335" s="121">
        <f t="shared" si="40"/>
        <v>0.2680555555555556</v>
      </c>
      <c r="L335" s="233">
        <f t="shared" si="41"/>
        <v>0.24999999999999997</v>
      </c>
      <c r="M335" s="121">
        <f aca="true" t="shared" si="45" ref="M335:M379">$K335+$L335</f>
        <v>0.5180555555555556</v>
      </c>
      <c r="N335" s="59">
        <f t="shared" si="42"/>
        <v>6.433333334362668</v>
      </c>
      <c r="O335" s="59">
        <f t="shared" si="42"/>
        <v>6.00000000096</v>
      </c>
      <c r="P335" s="101">
        <f>Puissance_en_nominale*Simulation!N335+Puissance_en_economie*Simulation!O335</f>
        <v>452.80361065846</v>
      </c>
      <c r="Q335" s="101">
        <f t="shared" si="43"/>
        <v>622.9100000996658</v>
      </c>
      <c r="R335" s="128">
        <f t="shared" si="44"/>
        <v>0.2730834139987939</v>
      </c>
    </row>
    <row r="336" spans="1:18" ht="12.75">
      <c r="A336" t="s">
        <v>497</v>
      </c>
      <c r="B336" s="116">
        <v>0.8361111111111111</v>
      </c>
      <c r="C336" s="116">
        <v>0.9791666666666666</v>
      </c>
      <c r="D336" s="116">
        <v>0.1875</v>
      </c>
      <c r="E336" s="116">
        <v>0.3333333333333333</v>
      </c>
      <c r="F336" t="s">
        <v>157</v>
      </c>
      <c r="H336" s="59">
        <f aca="true" t="shared" si="46" ref="H336:H380">$K$5-C336</f>
        <v>0.02083333333333337</v>
      </c>
      <c r="I336" s="234">
        <f aca="true" t="shared" si="47" ref="I336:I380">C336-B336</f>
        <v>0.1430555555555555</v>
      </c>
      <c r="J336" s="234">
        <f aca="true" t="shared" si="48" ref="J336:J380">D336-E336</f>
        <v>-0.14583333333333331</v>
      </c>
      <c r="K336" s="121">
        <f aca="true" t="shared" si="49" ref="K336:K380">IF(AND($H336&lt;0.5,$I336&gt;=0,$J336&lt;0),($C336-$B336)+($E336-$D336),IF(AND($H336&lt;0.5,$I336&gt;=0,$J336&gt;=0),($C336-$B336),IF(AND($H336&lt;0.5,$I336&lt;0,$J336&gt;=0),0,IF(AND($H336&lt;0.5,$I336&lt;0,$J336&lt;0),$E336-$D336,IF(AND($H336&gt;=0.5,$I336&lt;0,$J336&lt;0),($C336-$K$7)+($K$5-$B336)+(E336-D336),IF(AND($H336&gt;=0.5,$I336&lt;0,$J336&gt;=0),($C336-$K$7)+($K$5-$B336),0))))))</f>
        <v>0.2888888888888888</v>
      </c>
      <c r="L336" s="233">
        <f aca="true" t="shared" si="50" ref="L336:L380">IF(AND($H336&lt;0.5,$I336&gt;=0,$J336&lt;0),($K$5-$C336)+($D336-$K$7),IF(AND($H336&lt;0.5,$I336&gt;=0,$J336&gt;=0),($K$5-$C336)+($E336-$K$7),IF(AND($H336&lt;0.5,$I336&lt;0,$J336&gt;=0),($K$5-$C336)+($D336-$K$7),IF(AND($H336&lt;0.5,$I336&lt;0,$J336&lt;0),($K$5-$C336)+($D336-$K$7),IF(AND($H336&gt;=0.5,$I336&lt;0,$J336&lt;0),$D336-$C336,IF(AND($H336&gt;=0.5,$I336&lt;0,$J336&gt;=0),$E336-$C336,0))))))</f>
        <v>0.20833333333333337</v>
      </c>
      <c r="M336" s="121">
        <f t="shared" si="45"/>
        <v>0.4972222222222222</v>
      </c>
      <c r="N336" s="59">
        <f aca="true" t="shared" si="51" ref="N336:O379">K336/$S$3</f>
        <v>6.933333334442665</v>
      </c>
      <c r="O336" s="59">
        <f t="shared" si="51"/>
        <v>5.000000000800001</v>
      </c>
      <c r="P336" s="101">
        <f>Puissance_en_nominale*Simulation!N336+Puissance_en_economie*Simulation!O336</f>
        <v>443.0014367438481</v>
      </c>
      <c r="Q336" s="101">
        <f aca="true" t="shared" si="52" ref="Q336:Q379">Puissance_à_la_tension_réseau*(N336+O336)</f>
        <v>597.8600000956576</v>
      </c>
      <c r="R336" s="128">
        <f aca="true" t="shared" si="53" ref="R336:R379">1-P336/Q336</f>
        <v>0.25902144871212684</v>
      </c>
    </row>
    <row r="337" spans="1:18" ht="12.75">
      <c r="A337" t="s">
        <v>498</v>
      </c>
      <c r="B337" s="116">
        <v>0.8361111111111111</v>
      </c>
      <c r="C337" s="116">
        <v>0.9791666666666666</v>
      </c>
      <c r="D337" s="116">
        <v>0.1875</v>
      </c>
      <c r="E337" s="116">
        <v>0.3326388888888889</v>
      </c>
      <c r="F337" t="s">
        <v>157</v>
      </c>
      <c r="H337" s="59">
        <f t="shared" si="46"/>
        <v>0.02083333333333337</v>
      </c>
      <c r="I337" s="234">
        <f t="shared" si="47"/>
        <v>0.1430555555555555</v>
      </c>
      <c r="J337" s="234">
        <f t="shared" si="48"/>
        <v>-0.14513888888888887</v>
      </c>
      <c r="K337" s="121">
        <f t="shared" si="49"/>
        <v>0.28819444444444436</v>
      </c>
      <c r="L337" s="233">
        <f t="shared" si="50"/>
        <v>0.20833333333333337</v>
      </c>
      <c r="M337" s="121">
        <f t="shared" si="45"/>
        <v>0.49652777777777773</v>
      </c>
      <c r="N337" s="59">
        <f t="shared" si="51"/>
        <v>6.916666667773332</v>
      </c>
      <c r="O337" s="59">
        <f t="shared" si="51"/>
        <v>5.000000000800001</v>
      </c>
      <c r="P337" s="101">
        <f>Puissance_en_nominale*Simulation!N337+Puissance_en_economie*Simulation!O337</f>
        <v>442.30534033541915</v>
      </c>
      <c r="Q337" s="101">
        <f t="shared" si="52"/>
        <v>597.0250000955241</v>
      </c>
      <c r="R337" s="128">
        <f t="shared" si="53"/>
        <v>0.25915105688262596</v>
      </c>
    </row>
    <row r="338" spans="1:18" ht="12.75">
      <c r="A338" t="s">
        <v>499</v>
      </c>
      <c r="B338" s="116">
        <v>0.8361111111111111</v>
      </c>
      <c r="C338" s="116">
        <v>0.9791666666666666</v>
      </c>
      <c r="D338" s="116">
        <v>0.1875</v>
      </c>
      <c r="E338" s="116">
        <v>0.3326388888888889</v>
      </c>
      <c r="F338" t="s">
        <v>157</v>
      </c>
      <c r="H338" s="59">
        <f t="shared" si="46"/>
        <v>0.02083333333333337</v>
      </c>
      <c r="I338" s="234">
        <f t="shared" si="47"/>
        <v>0.1430555555555555</v>
      </c>
      <c r="J338" s="234">
        <f t="shared" si="48"/>
        <v>-0.14513888888888887</v>
      </c>
      <c r="K338" s="121">
        <f t="shared" si="49"/>
        <v>0.28819444444444436</v>
      </c>
      <c r="L338" s="233">
        <f t="shared" si="50"/>
        <v>0.20833333333333337</v>
      </c>
      <c r="M338" s="121">
        <f t="shared" si="45"/>
        <v>0.49652777777777773</v>
      </c>
      <c r="N338" s="59">
        <f t="shared" si="51"/>
        <v>6.916666667773332</v>
      </c>
      <c r="O338" s="59">
        <f t="shared" si="51"/>
        <v>5.000000000800001</v>
      </c>
      <c r="P338" s="101">
        <f>Puissance_en_nominale*Simulation!N338+Puissance_en_economie*Simulation!O338</f>
        <v>442.30534033541915</v>
      </c>
      <c r="Q338" s="101">
        <f t="shared" si="52"/>
        <v>597.0250000955241</v>
      </c>
      <c r="R338" s="128">
        <f t="shared" si="53"/>
        <v>0.25915105688262596</v>
      </c>
    </row>
    <row r="339" spans="1:18" ht="12.75">
      <c r="A339" t="s">
        <v>500</v>
      </c>
      <c r="B339" s="116">
        <v>0.8354166666666667</v>
      </c>
      <c r="C339" s="116">
        <v>0.9791666666666666</v>
      </c>
      <c r="D339" s="116">
        <v>0.1875</v>
      </c>
      <c r="E339" s="116">
        <v>0.3326388888888889</v>
      </c>
      <c r="F339" t="s">
        <v>157</v>
      </c>
      <c r="H339" s="59">
        <f t="shared" si="46"/>
        <v>0.02083333333333337</v>
      </c>
      <c r="I339" s="234">
        <f t="shared" si="47"/>
        <v>0.14374999999999993</v>
      </c>
      <c r="J339" s="234">
        <f t="shared" si="48"/>
        <v>-0.14513888888888887</v>
      </c>
      <c r="K339" s="121">
        <f t="shared" si="49"/>
        <v>0.2888888888888888</v>
      </c>
      <c r="L339" s="233">
        <f t="shared" si="50"/>
        <v>0.20833333333333337</v>
      </c>
      <c r="M339" s="121">
        <f t="shared" si="45"/>
        <v>0.4972222222222222</v>
      </c>
      <c r="N339" s="59">
        <f t="shared" si="51"/>
        <v>6.933333334442665</v>
      </c>
      <c r="O339" s="59">
        <f t="shared" si="51"/>
        <v>5.000000000800001</v>
      </c>
      <c r="P339" s="101">
        <f>Puissance_en_nominale*Simulation!N339+Puissance_en_economie*Simulation!O339</f>
        <v>443.0014367438481</v>
      </c>
      <c r="Q339" s="101">
        <f t="shared" si="52"/>
        <v>597.8600000956576</v>
      </c>
      <c r="R339" s="128">
        <f t="shared" si="53"/>
        <v>0.25902144871212684</v>
      </c>
    </row>
    <row r="340" spans="1:18" ht="12.75">
      <c r="A340" t="s">
        <v>501</v>
      </c>
      <c r="B340" s="116">
        <v>0.8354166666666667</v>
      </c>
      <c r="C340" s="116">
        <v>0.9791666666666666</v>
      </c>
      <c r="D340" s="116">
        <v>0.1875</v>
      </c>
      <c r="E340" s="116">
        <v>0.35</v>
      </c>
      <c r="F340" t="s">
        <v>157</v>
      </c>
      <c r="H340" s="59">
        <f t="shared" si="46"/>
        <v>0.02083333333333337</v>
      </c>
      <c r="I340" s="234">
        <f t="shared" si="47"/>
        <v>0.14374999999999993</v>
      </c>
      <c r="J340" s="234">
        <f t="shared" si="48"/>
        <v>-0.16249999999999998</v>
      </c>
      <c r="K340" s="121">
        <f t="shared" si="49"/>
        <v>0.3062499999999999</v>
      </c>
      <c r="L340" s="233">
        <f t="shared" si="50"/>
        <v>0.20833333333333337</v>
      </c>
      <c r="M340" s="121">
        <f t="shared" si="45"/>
        <v>0.5145833333333333</v>
      </c>
      <c r="N340" s="59">
        <f t="shared" si="51"/>
        <v>7.3500000011759985</v>
      </c>
      <c r="O340" s="59">
        <f t="shared" si="51"/>
        <v>5.000000000800001</v>
      </c>
      <c r="P340" s="101">
        <f>Puissance_en_nominale*Simulation!N340+Puissance_en_economie*Simulation!O340</f>
        <v>460.40384695457203</v>
      </c>
      <c r="Q340" s="101">
        <f t="shared" si="52"/>
        <v>618.7350000989977</v>
      </c>
      <c r="R340" s="128">
        <f t="shared" si="53"/>
        <v>0.25589493582728096</v>
      </c>
    </row>
    <row r="341" spans="1:18" ht="12.75">
      <c r="A341" t="s">
        <v>502</v>
      </c>
      <c r="B341" s="116">
        <v>0.8145833333333333</v>
      </c>
      <c r="C341" s="116">
        <v>0.9583333333333334</v>
      </c>
      <c r="D341" s="116">
        <v>0.20833333333333334</v>
      </c>
      <c r="E341" s="116">
        <v>0.34930555555555554</v>
      </c>
      <c r="F341" t="s">
        <v>180</v>
      </c>
      <c r="H341" s="59">
        <f t="shared" si="46"/>
        <v>0.04166666666666663</v>
      </c>
      <c r="I341" s="234">
        <f t="shared" si="47"/>
        <v>0.14375000000000004</v>
      </c>
      <c r="J341" s="234">
        <f t="shared" si="48"/>
        <v>-0.1409722222222222</v>
      </c>
      <c r="K341" s="121">
        <f t="shared" si="49"/>
        <v>0.2847222222222222</v>
      </c>
      <c r="L341" s="233">
        <f t="shared" si="50"/>
        <v>0.24999999999999997</v>
      </c>
      <c r="M341" s="121">
        <f t="shared" si="45"/>
        <v>0.5347222222222222</v>
      </c>
      <c r="N341" s="59">
        <f t="shared" si="51"/>
        <v>6.8333333344266665</v>
      </c>
      <c r="O341" s="59">
        <f t="shared" si="51"/>
        <v>6.00000000096</v>
      </c>
      <c r="P341" s="101">
        <f>Puissance_en_nominale*Simulation!N341+Puissance_en_economie*Simulation!O341</f>
        <v>469.50992446075486</v>
      </c>
      <c r="Q341" s="101">
        <f t="shared" si="52"/>
        <v>642.9500001028721</v>
      </c>
      <c r="R341" s="128">
        <f t="shared" si="53"/>
        <v>0.2697567083200354</v>
      </c>
    </row>
    <row r="342" spans="1:18" ht="12.75">
      <c r="A342" t="s">
        <v>503</v>
      </c>
      <c r="B342" s="116">
        <v>0.8145833333333333</v>
      </c>
      <c r="C342" s="116">
        <v>0.9583333333333334</v>
      </c>
      <c r="D342" s="116">
        <v>0.20833333333333334</v>
      </c>
      <c r="E342" s="116">
        <v>0.33194444444444443</v>
      </c>
      <c r="F342" t="s">
        <v>180</v>
      </c>
      <c r="H342" s="59">
        <f t="shared" si="46"/>
        <v>0.04166666666666663</v>
      </c>
      <c r="I342" s="234">
        <f t="shared" si="47"/>
        <v>0.14375000000000004</v>
      </c>
      <c r="J342" s="234">
        <f t="shared" si="48"/>
        <v>-0.12361111111111109</v>
      </c>
      <c r="K342" s="121">
        <f t="shared" si="49"/>
        <v>0.26736111111111116</v>
      </c>
      <c r="L342" s="233">
        <f t="shared" si="50"/>
        <v>0.24999999999999997</v>
      </c>
      <c r="M342" s="121">
        <f t="shared" si="45"/>
        <v>0.5173611111111112</v>
      </c>
      <c r="N342" s="59">
        <f t="shared" si="51"/>
        <v>6.416666667693335</v>
      </c>
      <c r="O342" s="59">
        <f t="shared" si="51"/>
        <v>6.00000000096</v>
      </c>
      <c r="P342" s="101">
        <f>Puissance_en_nominale*Simulation!N342+Puissance_en_economie*Simulation!O342</f>
        <v>452.10751425003104</v>
      </c>
      <c r="Q342" s="101">
        <f t="shared" si="52"/>
        <v>622.0750000995322</v>
      </c>
      <c r="R342" s="128">
        <f t="shared" si="53"/>
        <v>0.2732266781695234</v>
      </c>
    </row>
    <row r="343" spans="1:18" ht="12.75">
      <c r="A343" t="s">
        <v>504</v>
      </c>
      <c r="B343" s="116">
        <v>0.8347222222222223</v>
      </c>
      <c r="C343" s="116">
        <v>0.9791666666666666</v>
      </c>
      <c r="D343" s="116">
        <v>0.1875</v>
      </c>
      <c r="E343" s="116">
        <v>0.33194444444444443</v>
      </c>
      <c r="F343" t="s">
        <v>157</v>
      </c>
      <c r="H343" s="59">
        <f t="shared" si="46"/>
        <v>0.02083333333333337</v>
      </c>
      <c r="I343" s="234">
        <f t="shared" si="47"/>
        <v>0.14444444444444438</v>
      </c>
      <c r="J343" s="234">
        <f t="shared" si="48"/>
        <v>-0.14444444444444443</v>
      </c>
      <c r="K343" s="121">
        <f t="shared" si="49"/>
        <v>0.2888888888888888</v>
      </c>
      <c r="L343" s="233">
        <f t="shared" si="50"/>
        <v>0.20833333333333337</v>
      </c>
      <c r="M343" s="121">
        <f t="shared" si="45"/>
        <v>0.4972222222222222</v>
      </c>
      <c r="N343" s="59">
        <f t="shared" si="51"/>
        <v>6.933333334442665</v>
      </c>
      <c r="O343" s="59">
        <f t="shared" si="51"/>
        <v>5.000000000800001</v>
      </c>
      <c r="P343" s="101">
        <f>Puissance_en_nominale*Simulation!N343+Puissance_en_economie*Simulation!O343</f>
        <v>443.0014367438481</v>
      </c>
      <c r="Q343" s="101">
        <f t="shared" si="52"/>
        <v>597.8600000956576</v>
      </c>
      <c r="R343" s="128">
        <f t="shared" si="53"/>
        <v>0.25902144871212684</v>
      </c>
    </row>
    <row r="344" spans="1:18" ht="12.75">
      <c r="A344" t="s">
        <v>505</v>
      </c>
      <c r="B344" s="116">
        <v>0.8347222222222223</v>
      </c>
      <c r="C344" s="116">
        <v>0.9791666666666666</v>
      </c>
      <c r="D344" s="116">
        <v>0.1875</v>
      </c>
      <c r="E344" s="116">
        <v>0.33194444444444443</v>
      </c>
      <c r="F344" t="s">
        <v>157</v>
      </c>
      <c r="H344" s="59">
        <f t="shared" si="46"/>
        <v>0.02083333333333337</v>
      </c>
      <c r="I344" s="234">
        <f t="shared" si="47"/>
        <v>0.14444444444444438</v>
      </c>
      <c r="J344" s="234">
        <f t="shared" si="48"/>
        <v>-0.14444444444444443</v>
      </c>
      <c r="K344" s="121">
        <f t="shared" si="49"/>
        <v>0.2888888888888888</v>
      </c>
      <c r="L344" s="233">
        <f t="shared" si="50"/>
        <v>0.20833333333333337</v>
      </c>
      <c r="M344" s="121">
        <f t="shared" si="45"/>
        <v>0.4972222222222222</v>
      </c>
      <c r="N344" s="59">
        <f t="shared" si="51"/>
        <v>6.933333334442665</v>
      </c>
      <c r="O344" s="59">
        <f t="shared" si="51"/>
        <v>5.000000000800001</v>
      </c>
      <c r="P344" s="101">
        <f>Puissance_en_nominale*Simulation!N344+Puissance_en_economie*Simulation!O344</f>
        <v>443.0014367438481</v>
      </c>
      <c r="Q344" s="101">
        <f t="shared" si="52"/>
        <v>597.8600000956576</v>
      </c>
      <c r="R344" s="128">
        <f t="shared" si="53"/>
        <v>0.25902144871212684</v>
      </c>
    </row>
    <row r="345" spans="1:18" ht="12.75">
      <c r="A345" t="s">
        <v>506</v>
      </c>
      <c r="B345" s="116">
        <v>0.8347222222222223</v>
      </c>
      <c r="C345" s="116">
        <v>0.9791666666666666</v>
      </c>
      <c r="D345" s="116">
        <v>0.1875</v>
      </c>
      <c r="E345" s="116">
        <v>0.33125</v>
      </c>
      <c r="F345" t="s">
        <v>157</v>
      </c>
      <c r="H345" s="59">
        <f t="shared" si="46"/>
        <v>0.02083333333333337</v>
      </c>
      <c r="I345" s="234">
        <f t="shared" si="47"/>
        <v>0.14444444444444438</v>
      </c>
      <c r="J345" s="234">
        <f t="shared" si="48"/>
        <v>-0.14375</v>
      </c>
      <c r="K345" s="121">
        <f t="shared" si="49"/>
        <v>0.28819444444444436</v>
      </c>
      <c r="L345" s="233">
        <f t="shared" si="50"/>
        <v>0.20833333333333337</v>
      </c>
      <c r="M345" s="121">
        <f t="shared" si="45"/>
        <v>0.49652777777777773</v>
      </c>
      <c r="N345" s="59">
        <f t="shared" si="51"/>
        <v>6.916666667773332</v>
      </c>
      <c r="O345" s="59">
        <f t="shared" si="51"/>
        <v>5.000000000800001</v>
      </c>
      <c r="P345" s="101">
        <f>Puissance_en_nominale*Simulation!N345+Puissance_en_economie*Simulation!O345</f>
        <v>442.30534033541915</v>
      </c>
      <c r="Q345" s="101">
        <f t="shared" si="52"/>
        <v>597.0250000955241</v>
      </c>
      <c r="R345" s="128">
        <f t="shared" si="53"/>
        <v>0.25915105688262596</v>
      </c>
    </row>
    <row r="346" spans="1:18" ht="12.75">
      <c r="A346" t="s">
        <v>507</v>
      </c>
      <c r="B346" s="116">
        <v>0.8347222222222223</v>
      </c>
      <c r="C346" s="116">
        <v>0.9791666666666666</v>
      </c>
      <c r="D346" s="116">
        <v>0.1875</v>
      </c>
      <c r="E346" s="116">
        <v>0.33125</v>
      </c>
      <c r="F346" t="s">
        <v>157</v>
      </c>
      <c r="H346" s="59">
        <f t="shared" si="46"/>
        <v>0.02083333333333337</v>
      </c>
      <c r="I346" s="234">
        <f t="shared" si="47"/>
        <v>0.14444444444444438</v>
      </c>
      <c r="J346" s="234">
        <f t="shared" si="48"/>
        <v>-0.14375</v>
      </c>
      <c r="K346" s="121">
        <f t="shared" si="49"/>
        <v>0.28819444444444436</v>
      </c>
      <c r="L346" s="233">
        <f t="shared" si="50"/>
        <v>0.20833333333333337</v>
      </c>
      <c r="M346" s="121">
        <f t="shared" si="45"/>
        <v>0.49652777777777773</v>
      </c>
      <c r="N346" s="59">
        <f t="shared" si="51"/>
        <v>6.916666667773332</v>
      </c>
      <c r="O346" s="59">
        <f t="shared" si="51"/>
        <v>5.000000000800001</v>
      </c>
      <c r="P346" s="101">
        <f>Puissance_en_nominale*Simulation!N346+Puissance_en_economie*Simulation!O346</f>
        <v>442.30534033541915</v>
      </c>
      <c r="Q346" s="101">
        <f t="shared" si="52"/>
        <v>597.0250000955241</v>
      </c>
      <c r="R346" s="128">
        <f t="shared" si="53"/>
        <v>0.25915105688262596</v>
      </c>
    </row>
    <row r="347" spans="1:18" ht="12.75">
      <c r="A347" t="s">
        <v>508</v>
      </c>
      <c r="B347" s="116">
        <v>0.8340277777777777</v>
      </c>
      <c r="C347" s="116">
        <v>0.9791666666666666</v>
      </c>
      <c r="D347" s="116">
        <v>0.1875</v>
      </c>
      <c r="E347" s="116">
        <v>0.34861111111111115</v>
      </c>
      <c r="F347" t="s">
        <v>157</v>
      </c>
      <c r="H347" s="59">
        <f t="shared" si="46"/>
        <v>0.02083333333333337</v>
      </c>
      <c r="I347" s="234">
        <f t="shared" si="47"/>
        <v>0.14513888888888893</v>
      </c>
      <c r="J347" s="234">
        <f t="shared" si="48"/>
        <v>-0.16111111111111115</v>
      </c>
      <c r="K347" s="121">
        <f t="shared" si="49"/>
        <v>0.3062500000000001</v>
      </c>
      <c r="L347" s="233">
        <f t="shared" si="50"/>
        <v>0.20833333333333337</v>
      </c>
      <c r="M347" s="121">
        <f t="shared" si="45"/>
        <v>0.5145833333333334</v>
      </c>
      <c r="N347" s="59">
        <f t="shared" si="51"/>
        <v>7.350000001176002</v>
      </c>
      <c r="O347" s="59">
        <f t="shared" si="51"/>
        <v>5.000000000800001</v>
      </c>
      <c r="P347" s="101">
        <f>Puissance_en_nominale*Simulation!N347+Puissance_en_economie*Simulation!O347</f>
        <v>460.40384695457215</v>
      </c>
      <c r="Q347" s="101">
        <f t="shared" si="52"/>
        <v>618.7350000989978</v>
      </c>
      <c r="R347" s="128">
        <f t="shared" si="53"/>
        <v>0.25589493582728084</v>
      </c>
    </row>
    <row r="348" spans="1:18" ht="12.75">
      <c r="A348" t="s">
        <v>509</v>
      </c>
      <c r="B348" s="116">
        <v>0.8131944444444444</v>
      </c>
      <c r="C348" s="116">
        <v>0.9583333333333334</v>
      </c>
      <c r="D348" s="116">
        <v>0.20833333333333334</v>
      </c>
      <c r="E348" s="116">
        <v>0.34861111111111115</v>
      </c>
      <c r="F348" t="s">
        <v>180</v>
      </c>
      <c r="H348" s="59">
        <f t="shared" si="46"/>
        <v>0.04166666666666663</v>
      </c>
      <c r="I348" s="234">
        <f t="shared" si="47"/>
        <v>0.14513888888888893</v>
      </c>
      <c r="J348" s="234">
        <f t="shared" si="48"/>
        <v>-0.1402777777777778</v>
      </c>
      <c r="K348" s="121">
        <f t="shared" si="49"/>
        <v>0.28541666666666676</v>
      </c>
      <c r="L348" s="233">
        <f t="shared" si="50"/>
        <v>0.24999999999999997</v>
      </c>
      <c r="M348" s="121">
        <f t="shared" si="45"/>
        <v>0.5354166666666668</v>
      </c>
      <c r="N348" s="59">
        <f t="shared" si="51"/>
        <v>6.850000001096003</v>
      </c>
      <c r="O348" s="59">
        <f t="shared" si="51"/>
        <v>6.00000000096</v>
      </c>
      <c r="P348" s="101">
        <f>Puissance_en_nominale*Simulation!N348+Puissance_en_economie*Simulation!O348</f>
        <v>470.206020869184</v>
      </c>
      <c r="Q348" s="101">
        <f t="shared" si="52"/>
        <v>643.7850001030058</v>
      </c>
      <c r="R348" s="128">
        <f t="shared" si="53"/>
        <v>0.2696225901598346</v>
      </c>
    </row>
    <row r="349" spans="1:18" ht="12.75">
      <c r="A349" t="s">
        <v>510</v>
      </c>
      <c r="B349" s="116">
        <v>0.8131944444444444</v>
      </c>
      <c r="C349" s="116">
        <v>0.9583333333333334</v>
      </c>
      <c r="D349" s="116">
        <v>0.20833333333333334</v>
      </c>
      <c r="E349" s="116">
        <v>0.33125</v>
      </c>
      <c r="F349" t="s">
        <v>180</v>
      </c>
      <c r="H349" s="59">
        <f t="shared" si="46"/>
        <v>0.04166666666666663</v>
      </c>
      <c r="I349" s="234">
        <f t="shared" si="47"/>
        <v>0.14513888888888893</v>
      </c>
      <c r="J349" s="234">
        <f t="shared" si="48"/>
        <v>-0.12291666666666665</v>
      </c>
      <c r="K349" s="121">
        <f t="shared" si="49"/>
        <v>0.2680555555555556</v>
      </c>
      <c r="L349" s="233">
        <f t="shared" si="50"/>
        <v>0.24999999999999997</v>
      </c>
      <c r="M349" s="121">
        <f t="shared" si="45"/>
        <v>0.5180555555555556</v>
      </c>
      <c r="N349" s="59">
        <f t="shared" si="51"/>
        <v>6.433333334362668</v>
      </c>
      <c r="O349" s="59">
        <f t="shared" si="51"/>
        <v>6.00000000096</v>
      </c>
      <c r="P349" s="101">
        <f>Puissance_en_nominale*Simulation!N349+Puissance_en_economie*Simulation!O349</f>
        <v>452.80361065846</v>
      </c>
      <c r="Q349" s="101">
        <f t="shared" si="52"/>
        <v>622.9100000996658</v>
      </c>
      <c r="R349" s="128">
        <f t="shared" si="53"/>
        <v>0.2730834139987939</v>
      </c>
    </row>
    <row r="350" spans="1:18" ht="12.75">
      <c r="A350" t="s">
        <v>511</v>
      </c>
      <c r="B350" s="116">
        <v>0.8340277777777777</v>
      </c>
      <c r="C350" s="116">
        <v>0.9791666666666666</v>
      </c>
      <c r="D350" s="116">
        <v>0.1875</v>
      </c>
      <c r="E350" s="116">
        <v>0.33055555555555555</v>
      </c>
      <c r="F350" t="s">
        <v>157</v>
      </c>
      <c r="H350" s="59">
        <f t="shared" si="46"/>
        <v>0.02083333333333337</v>
      </c>
      <c r="I350" s="234">
        <f t="shared" si="47"/>
        <v>0.14513888888888893</v>
      </c>
      <c r="J350" s="234">
        <f t="shared" si="48"/>
        <v>-0.14305555555555555</v>
      </c>
      <c r="K350" s="121">
        <f t="shared" si="49"/>
        <v>0.2881944444444445</v>
      </c>
      <c r="L350" s="233">
        <f t="shared" si="50"/>
        <v>0.20833333333333337</v>
      </c>
      <c r="M350" s="121">
        <f t="shared" si="45"/>
        <v>0.49652777777777785</v>
      </c>
      <c r="N350" s="59">
        <f t="shared" si="51"/>
        <v>6.916666667773335</v>
      </c>
      <c r="O350" s="59">
        <f t="shared" si="51"/>
        <v>5.000000000800001</v>
      </c>
      <c r="P350" s="101">
        <f>Puissance_en_nominale*Simulation!N350+Puissance_en_economie*Simulation!O350</f>
        <v>442.30534033541926</v>
      </c>
      <c r="Q350" s="101">
        <f t="shared" si="52"/>
        <v>597.0250000955242</v>
      </c>
      <c r="R350" s="128">
        <f t="shared" si="53"/>
        <v>0.25915105688262596</v>
      </c>
    </row>
    <row r="351" spans="1:18" ht="12.75">
      <c r="A351" t="s">
        <v>512</v>
      </c>
      <c r="B351" s="116">
        <v>0.8340277777777777</v>
      </c>
      <c r="C351" s="116">
        <v>0.9791666666666666</v>
      </c>
      <c r="D351" s="116">
        <v>0.1875</v>
      </c>
      <c r="E351" s="116">
        <v>0.33055555555555555</v>
      </c>
      <c r="F351" t="s">
        <v>157</v>
      </c>
      <c r="H351" s="59">
        <f t="shared" si="46"/>
        <v>0.02083333333333337</v>
      </c>
      <c r="I351" s="234">
        <f t="shared" si="47"/>
        <v>0.14513888888888893</v>
      </c>
      <c r="J351" s="234">
        <f t="shared" si="48"/>
        <v>-0.14305555555555555</v>
      </c>
      <c r="K351" s="121">
        <f t="shared" si="49"/>
        <v>0.2881944444444445</v>
      </c>
      <c r="L351" s="233">
        <f t="shared" si="50"/>
        <v>0.20833333333333337</v>
      </c>
      <c r="M351" s="121">
        <f t="shared" si="45"/>
        <v>0.49652777777777785</v>
      </c>
      <c r="N351" s="59">
        <f t="shared" si="51"/>
        <v>6.916666667773335</v>
      </c>
      <c r="O351" s="59">
        <f t="shared" si="51"/>
        <v>5.000000000800001</v>
      </c>
      <c r="P351" s="101">
        <f>Puissance_en_nominale*Simulation!N351+Puissance_en_economie*Simulation!O351</f>
        <v>442.30534033541926</v>
      </c>
      <c r="Q351" s="101">
        <f t="shared" si="52"/>
        <v>597.0250000955242</v>
      </c>
      <c r="R351" s="128">
        <f t="shared" si="53"/>
        <v>0.25915105688262596</v>
      </c>
    </row>
    <row r="352" spans="1:18" ht="12.75">
      <c r="A352" t="s">
        <v>513</v>
      </c>
      <c r="B352" s="116">
        <v>0.8333333333333334</v>
      </c>
      <c r="C352" s="116">
        <v>0.9791666666666666</v>
      </c>
      <c r="D352" s="116">
        <v>0.1875</v>
      </c>
      <c r="E352" s="116">
        <v>0.33055555555555555</v>
      </c>
      <c r="F352" t="s">
        <v>157</v>
      </c>
      <c r="H352" s="59">
        <f t="shared" si="46"/>
        <v>0.02083333333333337</v>
      </c>
      <c r="I352" s="234">
        <f t="shared" si="47"/>
        <v>0.14583333333333326</v>
      </c>
      <c r="J352" s="234">
        <f t="shared" si="48"/>
        <v>-0.14305555555555555</v>
      </c>
      <c r="K352" s="121">
        <f t="shared" si="49"/>
        <v>0.2888888888888888</v>
      </c>
      <c r="L352" s="233">
        <f t="shared" si="50"/>
        <v>0.20833333333333337</v>
      </c>
      <c r="M352" s="121">
        <f t="shared" si="45"/>
        <v>0.4972222222222222</v>
      </c>
      <c r="N352" s="59">
        <f t="shared" si="51"/>
        <v>6.933333334442665</v>
      </c>
      <c r="O352" s="59">
        <f t="shared" si="51"/>
        <v>5.000000000800001</v>
      </c>
      <c r="P352" s="101">
        <f>Puissance_en_nominale*Simulation!N352+Puissance_en_economie*Simulation!O352</f>
        <v>443.0014367438481</v>
      </c>
      <c r="Q352" s="101">
        <f t="shared" si="52"/>
        <v>597.8600000956576</v>
      </c>
      <c r="R352" s="128">
        <f t="shared" si="53"/>
        <v>0.25902144871212684</v>
      </c>
    </row>
    <row r="353" spans="1:18" ht="12.75">
      <c r="A353" t="s">
        <v>514</v>
      </c>
      <c r="B353" s="116">
        <v>0.8333333333333334</v>
      </c>
      <c r="C353" s="116">
        <v>0.9791666666666666</v>
      </c>
      <c r="D353" s="116">
        <v>0.1875</v>
      </c>
      <c r="E353" s="116">
        <v>0.33055555555555555</v>
      </c>
      <c r="F353" t="s">
        <v>157</v>
      </c>
      <c r="H353" s="59">
        <f t="shared" si="46"/>
        <v>0.02083333333333337</v>
      </c>
      <c r="I353" s="234">
        <f t="shared" si="47"/>
        <v>0.14583333333333326</v>
      </c>
      <c r="J353" s="234">
        <f t="shared" si="48"/>
        <v>-0.14305555555555555</v>
      </c>
      <c r="K353" s="121">
        <f t="shared" si="49"/>
        <v>0.2888888888888888</v>
      </c>
      <c r="L353" s="233">
        <f t="shared" si="50"/>
        <v>0.20833333333333337</v>
      </c>
      <c r="M353" s="121">
        <f t="shared" si="45"/>
        <v>0.4972222222222222</v>
      </c>
      <c r="N353" s="59">
        <f t="shared" si="51"/>
        <v>6.933333334442665</v>
      </c>
      <c r="O353" s="59">
        <f t="shared" si="51"/>
        <v>5.000000000800001</v>
      </c>
      <c r="P353" s="101">
        <f>Puissance_en_nominale*Simulation!N353+Puissance_en_economie*Simulation!O353</f>
        <v>443.0014367438481</v>
      </c>
      <c r="Q353" s="101">
        <f t="shared" si="52"/>
        <v>597.8600000956576</v>
      </c>
      <c r="R353" s="128">
        <f t="shared" si="53"/>
        <v>0.25902144871212684</v>
      </c>
    </row>
    <row r="354" spans="1:18" ht="12.75">
      <c r="A354" t="s">
        <v>515</v>
      </c>
      <c r="B354" s="116">
        <v>0.8333333333333334</v>
      </c>
      <c r="C354" s="116">
        <v>0.9791666666666666</v>
      </c>
      <c r="D354" s="116">
        <v>0.1875</v>
      </c>
      <c r="E354" s="116">
        <v>0.34791666666666665</v>
      </c>
      <c r="F354" t="s">
        <v>157</v>
      </c>
      <c r="H354" s="59">
        <f t="shared" si="46"/>
        <v>0.02083333333333337</v>
      </c>
      <c r="I354" s="234">
        <f t="shared" si="47"/>
        <v>0.14583333333333326</v>
      </c>
      <c r="J354" s="234">
        <f t="shared" si="48"/>
        <v>-0.16041666666666665</v>
      </c>
      <c r="K354" s="121">
        <f t="shared" si="49"/>
        <v>0.3062499999999999</v>
      </c>
      <c r="L354" s="233">
        <f t="shared" si="50"/>
        <v>0.20833333333333337</v>
      </c>
      <c r="M354" s="121">
        <f t="shared" si="45"/>
        <v>0.5145833333333333</v>
      </c>
      <c r="N354" s="59">
        <f t="shared" si="51"/>
        <v>7.3500000011759985</v>
      </c>
      <c r="O354" s="59">
        <f t="shared" si="51"/>
        <v>5.000000000800001</v>
      </c>
      <c r="P354" s="101">
        <f>Puissance_en_nominale*Simulation!N354+Puissance_en_economie*Simulation!O354</f>
        <v>460.40384695457203</v>
      </c>
      <c r="Q354" s="101">
        <f t="shared" si="52"/>
        <v>618.7350000989977</v>
      </c>
      <c r="R354" s="128">
        <f t="shared" si="53"/>
        <v>0.25589493582728096</v>
      </c>
    </row>
    <row r="355" spans="1:18" ht="12.75">
      <c r="A355" t="s">
        <v>516</v>
      </c>
      <c r="B355" s="116">
        <v>0.8125</v>
      </c>
      <c r="C355" s="116">
        <v>0.9583333333333334</v>
      </c>
      <c r="D355" s="116">
        <v>0.20833333333333334</v>
      </c>
      <c r="E355" s="116">
        <v>0.34791666666666665</v>
      </c>
      <c r="F355" t="s">
        <v>180</v>
      </c>
      <c r="H355" s="59">
        <f t="shared" si="46"/>
        <v>0.04166666666666663</v>
      </c>
      <c r="I355" s="234">
        <f t="shared" si="47"/>
        <v>0.14583333333333337</v>
      </c>
      <c r="J355" s="234">
        <f t="shared" si="48"/>
        <v>-0.1395833333333333</v>
      </c>
      <c r="K355" s="121">
        <f t="shared" si="49"/>
        <v>0.28541666666666665</v>
      </c>
      <c r="L355" s="233">
        <f t="shared" si="50"/>
        <v>0.24999999999999997</v>
      </c>
      <c r="M355" s="121">
        <f t="shared" si="45"/>
        <v>0.5354166666666667</v>
      </c>
      <c r="N355" s="59">
        <f t="shared" si="51"/>
        <v>6.850000001096</v>
      </c>
      <c r="O355" s="59">
        <f t="shared" si="51"/>
        <v>6.00000000096</v>
      </c>
      <c r="P355" s="101">
        <f>Puissance_en_nominale*Simulation!N355+Puissance_en_economie*Simulation!O355</f>
        <v>470.2060208691839</v>
      </c>
      <c r="Q355" s="101">
        <f t="shared" si="52"/>
        <v>643.7850001030057</v>
      </c>
      <c r="R355" s="128">
        <f t="shared" si="53"/>
        <v>0.2696225901598347</v>
      </c>
    </row>
    <row r="356" spans="1:18" ht="12.75">
      <c r="A356" t="s">
        <v>517</v>
      </c>
      <c r="B356" s="116">
        <v>0.8125</v>
      </c>
      <c r="C356" s="116">
        <v>0.9583333333333334</v>
      </c>
      <c r="D356" s="116">
        <v>0.20833333333333334</v>
      </c>
      <c r="E356" s="116">
        <v>0.3298611111111111</v>
      </c>
      <c r="F356" t="s">
        <v>180</v>
      </c>
      <c r="H356" s="59">
        <f t="shared" si="46"/>
        <v>0.04166666666666663</v>
      </c>
      <c r="I356" s="234">
        <f t="shared" si="47"/>
        <v>0.14583333333333337</v>
      </c>
      <c r="J356" s="234">
        <f t="shared" si="48"/>
        <v>-0.12152777777777776</v>
      </c>
      <c r="K356" s="121">
        <f t="shared" si="49"/>
        <v>0.26736111111111116</v>
      </c>
      <c r="L356" s="233">
        <f t="shared" si="50"/>
        <v>0.24999999999999997</v>
      </c>
      <c r="M356" s="121">
        <f t="shared" si="45"/>
        <v>0.5173611111111112</v>
      </c>
      <c r="N356" s="59">
        <f t="shared" si="51"/>
        <v>6.416666667693335</v>
      </c>
      <c r="O356" s="59">
        <f t="shared" si="51"/>
        <v>6.00000000096</v>
      </c>
      <c r="P356" s="101">
        <f>Puissance_en_nominale*Simulation!N356+Puissance_en_economie*Simulation!O356</f>
        <v>452.10751425003104</v>
      </c>
      <c r="Q356" s="101">
        <f t="shared" si="52"/>
        <v>622.0750000995322</v>
      </c>
      <c r="R356" s="128">
        <f t="shared" si="53"/>
        <v>0.2732266781695234</v>
      </c>
    </row>
    <row r="357" spans="1:18" ht="12.75">
      <c r="A357" t="s">
        <v>518</v>
      </c>
      <c r="B357" s="116">
        <v>0.8333333333333334</v>
      </c>
      <c r="C357" s="116">
        <v>0.9791666666666666</v>
      </c>
      <c r="D357" s="116">
        <v>0.1875</v>
      </c>
      <c r="E357" s="116">
        <v>0.3298611111111111</v>
      </c>
      <c r="F357" t="s">
        <v>157</v>
      </c>
      <c r="H357" s="59">
        <f t="shared" si="46"/>
        <v>0.02083333333333337</v>
      </c>
      <c r="I357" s="234">
        <f t="shared" si="47"/>
        <v>0.14583333333333326</v>
      </c>
      <c r="J357" s="234">
        <f t="shared" si="48"/>
        <v>-0.1423611111111111</v>
      </c>
      <c r="K357" s="121">
        <f t="shared" si="49"/>
        <v>0.28819444444444436</v>
      </c>
      <c r="L357" s="233">
        <f t="shared" si="50"/>
        <v>0.20833333333333337</v>
      </c>
      <c r="M357" s="121">
        <f t="shared" si="45"/>
        <v>0.49652777777777773</v>
      </c>
      <c r="N357" s="59">
        <f t="shared" si="51"/>
        <v>6.916666667773332</v>
      </c>
      <c r="O357" s="59">
        <f t="shared" si="51"/>
        <v>5.000000000800001</v>
      </c>
      <c r="P357" s="101">
        <f>Puissance_en_nominale*Simulation!N357+Puissance_en_economie*Simulation!O357</f>
        <v>442.30534033541915</v>
      </c>
      <c r="Q357" s="101">
        <f t="shared" si="52"/>
        <v>597.0250000955241</v>
      </c>
      <c r="R357" s="128">
        <f t="shared" si="53"/>
        <v>0.25915105688262596</v>
      </c>
    </row>
    <row r="358" spans="1:18" ht="12.75">
      <c r="A358" t="s">
        <v>519</v>
      </c>
      <c r="B358" s="116">
        <v>0.8326388888888889</v>
      </c>
      <c r="C358" s="116">
        <v>0.9791666666666666</v>
      </c>
      <c r="D358" s="116">
        <v>0.1875</v>
      </c>
      <c r="E358" s="116">
        <v>0.3298611111111111</v>
      </c>
      <c r="F358" t="s">
        <v>157</v>
      </c>
      <c r="H358" s="59">
        <f t="shared" si="46"/>
        <v>0.02083333333333337</v>
      </c>
      <c r="I358" s="234">
        <f t="shared" si="47"/>
        <v>0.1465277777777777</v>
      </c>
      <c r="J358" s="234">
        <f t="shared" si="48"/>
        <v>-0.1423611111111111</v>
      </c>
      <c r="K358" s="121">
        <f t="shared" si="49"/>
        <v>0.2888888888888888</v>
      </c>
      <c r="L358" s="233">
        <f t="shared" si="50"/>
        <v>0.20833333333333337</v>
      </c>
      <c r="M358" s="121">
        <f t="shared" si="45"/>
        <v>0.4972222222222222</v>
      </c>
      <c r="N358" s="59">
        <f t="shared" si="51"/>
        <v>6.933333334442665</v>
      </c>
      <c r="O358" s="59">
        <f t="shared" si="51"/>
        <v>5.000000000800001</v>
      </c>
      <c r="P358" s="101">
        <f>Puissance_en_nominale*Simulation!N358+Puissance_en_economie*Simulation!O358</f>
        <v>443.0014367438481</v>
      </c>
      <c r="Q358" s="101">
        <f t="shared" si="52"/>
        <v>597.8600000956576</v>
      </c>
      <c r="R358" s="128">
        <f t="shared" si="53"/>
        <v>0.25902144871212684</v>
      </c>
    </row>
    <row r="359" spans="1:18" ht="12.75">
      <c r="A359" t="s">
        <v>520</v>
      </c>
      <c r="B359" s="116">
        <v>0.8326388888888889</v>
      </c>
      <c r="C359" s="116">
        <v>0.9791666666666666</v>
      </c>
      <c r="D359" s="116">
        <v>0.1875</v>
      </c>
      <c r="E359" s="116">
        <v>0.3298611111111111</v>
      </c>
      <c r="F359" t="s">
        <v>157</v>
      </c>
      <c r="H359" s="59">
        <f t="shared" si="46"/>
        <v>0.02083333333333337</v>
      </c>
      <c r="I359" s="234">
        <f t="shared" si="47"/>
        <v>0.1465277777777777</v>
      </c>
      <c r="J359" s="234">
        <f t="shared" si="48"/>
        <v>-0.1423611111111111</v>
      </c>
      <c r="K359" s="121">
        <f t="shared" si="49"/>
        <v>0.2888888888888888</v>
      </c>
      <c r="L359" s="233">
        <f t="shared" si="50"/>
        <v>0.20833333333333337</v>
      </c>
      <c r="M359" s="121">
        <f t="shared" si="45"/>
        <v>0.4972222222222222</v>
      </c>
      <c r="N359" s="59">
        <f t="shared" si="51"/>
        <v>6.933333334442665</v>
      </c>
      <c r="O359" s="59">
        <f t="shared" si="51"/>
        <v>5.000000000800001</v>
      </c>
      <c r="P359" s="101">
        <f>Puissance_en_nominale*Simulation!N359+Puissance_en_economie*Simulation!O359</f>
        <v>443.0014367438481</v>
      </c>
      <c r="Q359" s="101">
        <f t="shared" si="52"/>
        <v>597.8600000956576</v>
      </c>
      <c r="R359" s="128">
        <f t="shared" si="53"/>
        <v>0.25902144871212684</v>
      </c>
    </row>
    <row r="360" spans="1:18" ht="12.75">
      <c r="A360" t="s">
        <v>521</v>
      </c>
      <c r="B360" s="116">
        <v>0.8326388888888889</v>
      </c>
      <c r="C360" s="116">
        <v>0.9791666666666666</v>
      </c>
      <c r="D360" s="116">
        <v>0.1875</v>
      </c>
      <c r="E360" s="116">
        <v>0.3298611111111111</v>
      </c>
      <c r="F360" t="s">
        <v>157</v>
      </c>
      <c r="H360" s="59">
        <f t="shared" si="46"/>
        <v>0.02083333333333337</v>
      </c>
      <c r="I360" s="234">
        <f t="shared" si="47"/>
        <v>0.1465277777777777</v>
      </c>
      <c r="J360" s="234">
        <f t="shared" si="48"/>
        <v>-0.1423611111111111</v>
      </c>
      <c r="K360" s="121">
        <f t="shared" si="49"/>
        <v>0.2888888888888888</v>
      </c>
      <c r="L360" s="233">
        <f t="shared" si="50"/>
        <v>0.20833333333333337</v>
      </c>
      <c r="M360" s="121">
        <f t="shared" si="45"/>
        <v>0.4972222222222222</v>
      </c>
      <c r="N360" s="59">
        <f t="shared" si="51"/>
        <v>6.933333334442665</v>
      </c>
      <c r="O360" s="59">
        <f t="shared" si="51"/>
        <v>5.000000000800001</v>
      </c>
      <c r="P360" s="101">
        <f>Puissance_en_nominale*Simulation!N360+Puissance_en_economie*Simulation!O360</f>
        <v>443.0014367438481</v>
      </c>
      <c r="Q360" s="101">
        <f t="shared" si="52"/>
        <v>597.8600000956576</v>
      </c>
      <c r="R360" s="128">
        <f t="shared" si="53"/>
        <v>0.25902144871212684</v>
      </c>
    </row>
    <row r="361" spans="1:18" ht="12.75">
      <c r="A361" t="s">
        <v>522</v>
      </c>
      <c r="B361" s="116">
        <v>0.8326388888888889</v>
      </c>
      <c r="C361" s="116">
        <v>0.9791666666666666</v>
      </c>
      <c r="D361" s="116">
        <v>0.1875</v>
      </c>
      <c r="E361" s="116">
        <v>0.34722222222222227</v>
      </c>
      <c r="F361" t="s">
        <v>157</v>
      </c>
      <c r="H361" s="59">
        <f t="shared" si="46"/>
        <v>0.02083333333333337</v>
      </c>
      <c r="I361" s="234">
        <f t="shared" si="47"/>
        <v>0.1465277777777777</v>
      </c>
      <c r="J361" s="234">
        <f t="shared" si="48"/>
        <v>-0.15972222222222227</v>
      </c>
      <c r="K361" s="121">
        <f t="shared" si="49"/>
        <v>0.30624999999999997</v>
      </c>
      <c r="L361" s="233">
        <f t="shared" si="50"/>
        <v>0.20833333333333337</v>
      </c>
      <c r="M361" s="121">
        <f t="shared" si="45"/>
        <v>0.5145833333333334</v>
      </c>
      <c r="N361" s="59">
        <f t="shared" si="51"/>
        <v>7.350000001175999</v>
      </c>
      <c r="O361" s="59">
        <f t="shared" si="51"/>
        <v>5.000000000800001</v>
      </c>
      <c r="P361" s="101">
        <f>Puissance_en_nominale*Simulation!N361+Puissance_en_economie*Simulation!O361</f>
        <v>460.40384695457203</v>
      </c>
      <c r="Q361" s="101">
        <f t="shared" si="52"/>
        <v>618.7350000989977</v>
      </c>
      <c r="R361" s="128">
        <f t="shared" si="53"/>
        <v>0.25589493582728096</v>
      </c>
    </row>
    <row r="362" spans="1:18" ht="12.75">
      <c r="A362" t="s">
        <v>523</v>
      </c>
      <c r="B362" s="116">
        <v>0.8118055555555556</v>
      </c>
      <c r="C362" s="116">
        <v>0.9583333333333334</v>
      </c>
      <c r="D362" s="116">
        <v>0.20833333333333334</v>
      </c>
      <c r="E362" s="116">
        <v>0.34722222222222227</v>
      </c>
      <c r="F362" t="s">
        <v>180</v>
      </c>
      <c r="H362" s="59">
        <f t="shared" si="46"/>
        <v>0.04166666666666663</v>
      </c>
      <c r="I362" s="234">
        <f t="shared" si="47"/>
        <v>0.1465277777777778</v>
      </c>
      <c r="J362" s="234">
        <f t="shared" si="48"/>
        <v>-0.13888888888888892</v>
      </c>
      <c r="K362" s="121">
        <f t="shared" si="49"/>
        <v>0.28541666666666676</v>
      </c>
      <c r="L362" s="233">
        <f t="shared" si="50"/>
        <v>0.24999999999999997</v>
      </c>
      <c r="M362" s="121">
        <f t="shared" si="45"/>
        <v>0.5354166666666668</v>
      </c>
      <c r="N362" s="59">
        <f t="shared" si="51"/>
        <v>6.850000001096003</v>
      </c>
      <c r="O362" s="59">
        <f t="shared" si="51"/>
        <v>6.00000000096</v>
      </c>
      <c r="P362" s="101">
        <f>Puissance_en_nominale*Simulation!N362+Puissance_en_economie*Simulation!O362</f>
        <v>470.206020869184</v>
      </c>
      <c r="Q362" s="101">
        <f t="shared" si="52"/>
        <v>643.7850001030058</v>
      </c>
      <c r="R362" s="128">
        <f t="shared" si="53"/>
        <v>0.2696225901598346</v>
      </c>
    </row>
    <row r="363" spans="1:18" ht="12.75">
      <c r="A363" t="s">
        <v>524</v>
      </c>
      <c r="B363" s="116">
        <v>0.8118055555555556</v>
      </c>
      <c r="C363" s="116">
        <v>0.9583333333333334</v>
      </c>
      <c r="D363" s="116">
        <v>0.20833333333333334</v>
      </c>
      <c r="E363" s="116">
        <v>0.3298611111111111</v>
      </c>
      <c r="F363" t="s">
        <v>180</v>
      </c>
      <c r="H363" s="59">
        <f t="shared" si="46"/>
        <v>0.04166666666666663</v>
      </c>
      <c r="I363" s="234">
        <f t="shared" si="47"/>
        <v>0.1465277777777778</v>
      </c>
      <c r="J363" s="234">
        <f t="shared" si="48"/>
        <v>-0.12152777777777776</v>
      </c>
      <c r="K363" s="121">
        <f t="shared" si="49"/>
        <v>0.2680555555555556</v>
      </c>
      <c r="L363" s="233">
        <f t="shared" si="50"/>
        <v>0.24999999999999997</v>
      </c>
      <c r="M363" s="121">
        <f t="shared" si="45"/>
        <v>0.5180555555555556</v>
      </c>
      <c r="N363" s="59">
        <f t="shared" si="51"/>
        <v>6.433333334362668</v>
      </c>
      <c r="O363" s="59">
        <f t="shared" si="51"/>
        <v>6.00000000096</v>
      </c>
      <c r="P363" s="101">
        <f>Puissance_en_nominale*Simulation!N363+Puissance_en_economie*Simulation!O363</f>
        <v>452.80361065846</v>
      </c>
      <c r="Q363" s="101">
        <f t="shared" si="52"/>
        <v>622.9100000996658</v>
      </c>
      <c r="R363" s="128">
        <f t="shared" si="53"/>
        <v>0.2730834139987939</v>
      </c>
    </row>
    <row r="364" spans="1:18" ht="12.75">
      <c r="A364" t="s">
        <v>525</v>
      </c>
      <c r="B364" s="116">
        <v>0.8326388888888889</v>
      </c>
      <c r="C364" s="116">
        <v>0.9791666666666666</v>
      </c>
      <c r="D364" s="116">
        <v>0.1875</v>
      </c>
      <c r="E364" s="116">
        <v>0.32916666666666666</v>
      </c>
      <c r="F364" t="s">
        <v>157</v>
      </c>
      <c r="H364" s="59">
        <f t="shared" si="46"/>
        <v>0.02083333333333337</v>
      </c>
      <c r="I364" s="234">
        <f t="shared" si="47"/>
        <v>0.1465277777777777</v>
      </c>
      <c r="J364" s="234">
        <f t="shared" si="48"/>
        <v>-0.14166666666666666</v>
      </c>
      <c r="K364" s="121">
        <f t="shared" si="49"/>
        <v>0.28819444444444436</v>
      </c>
      <c r="L364" s="233">
        <f t="shared" si="50"/>
        <v>0.20833333333333337</v>
      </c>
      <c r="M364" s="121">
        <f t="shared" si="45"/>
        <v>0.49652777777777773</v>
      </c>
      <c r="N364" s="59">
        <f t="shared" si="51"/>
        <v>6.916666667773332</v>
      </c>
      <c r="O364" s="59">
        <f t="shared" si="51"/>
        <v>5.000000000800001</v>
      </c>
      <c r="P364" s="101">
        <f>Puissance_en_nominale*Simulation!N364+Puissance_en_economie*Simulation!O364</f>
        <v>442.30534033541915</v>
      </c>
      <c r="Q364" s="101">
        <f t="shared" si="52"/>
        <v>597.0250000955241</v>
      </c>
      <c r="R364" s="128">
        <f t="shared" si="53"/>
        <v>0.25915105688262596</v>
      </c>
    </row>
    <row r="365" spans="1:18" ht="12.75">
      <c r="A365" t="s">
        <v>526</v>
      </c>
      <c r="B365" s="116">
        <v>0.8326388888888889</v>
      </c>
      <c r="C365" s="116">
        <v>0.9791666666666666</v>
      </c>
      <c r="D365" s="116">
        <v>0.1875</v>
      </c>
      <c r="E365" s="116">
        <v>0.32916666666666666</v>
      </c>
      <c r="F365" t="s">
        <v>157</v>
      </c>
      <c r="H365" s="59">
        <f t="shared" si="46"/>
        <v>0.02083333333333337</v>
      </c>
      <c r="I365" s="234">
        <f t="shared" si="47"/>
        <v>0.1465277777777777</v>
      </c>
      <c r="J365" s="234">
        <f t="shared" si="48"/>
        <v>-0.14166666666666666</v>
      </c>
      <c r="K365" s="121">
        <f t="shared" si="49"/>
        <v>0.28819444444444436</v>
      </c>
      <c r="L365" s="233">
        <f t="shared" si="50"/>
        <v>0.20833333333333337</v>
      </c>
      <c r="M365" s="121">
        <f t="shared" si="45"/>
        <v>0.49652777777777773</v>
      </c>
      <c r="N365" s="59">
        <f t="shared" si="51"/>
        <v>6.916666667773332</v>
      </c>
      <c r="O365" s="59">
        <f t="shared" si="51"/>
        <v>5.000000000800001</v>
      </c>
      <c r="P365" s="101">
        <f>Puissance_en_nominale*Simulation!N365+Puissance_en_economie*Simulation!O365</f>
        <v>442.30534033541915</v>
      </c>
      <c r="Q365" s="101">
        <f t="shared" si="52"/>
        <v>597.0250000955241</v>
      </c>
      <c r="R365" s="128">
        <f t="shared" si="53"/>
        <v>0.25915105688262596</v>
      </c>
    </row>
    <row r="366" spans="1:18" ht="12.75">
      <c r="A366" t="s">
        <v>527</v>
      </c>
      <c r="B366" s="116">
        <v>0.8326388888888889</v>
      </c>
      <c r="C366" s="116">
        <v>0.9791666666666666</v>
      </c>
      <c r="D366" s="116">
        <v>0.1875</v>
      </c>
      <c r="E366" s="116">
        <v>0.32916666666666666</v>
      </c>
      <c r="F366" t="s">
        <v>157</v>
      </c>
      <c r="H366" s="59">
        <f t="shared" si="46"/>
        <v>0.02083333333333337</v>
      </c>
      <c r="I366" s="234">
        <f t="shared" si="47"/>
        <v>0.1465277777777777</v>
      </c>
      <c r="J366" s="234">
        <f t="shared" si="48"/>
        <v>-0.14166666666666666</v>
      </c>
      <c r="K366" s="121">
        <f t="shared" si="49"/>
        <v>0.28819444444444436</v>
      </c>
      <c r="L366" s="233">
        <f t="shared" si="50"/>
        <v>0.20833333333333337</v>
      </c>
      <c r="M366" s="121">
        <f t="shared" si="45"/>
        <v>0.49652777777777773</v>
      </c>
      <c r="N366" s="59">
        <f t="shared" si="51"/>
        <v>6.916666667773332</v>
      </c>
      <c r="O366" s="59">
        <f t="shared" si="51"/>
        <v>5.000000000800001</v>
      </c>
      <c r="P366" s="101">
        <f>Puissance_en_nominale*Simulation!N366+Puissance_en_economie*Simulation!O366</f>
        <v>442.30534033541915</v>
      </c>
      <c r="Q366" s="101">
        <f t="shared" si="52"/>
        <v>597.0250000955241</v>
      </c>
      <c r="R366" s="128">
        <f t="shared" si="53"/>
        <v>0.25915105688262596</v>
      </c>
    </row>
    <row r="367" spans="1:18" ht="12.75">
      <c r="A367" t="s">
        <v>528</v>
      </c>
      <c r="B367" s="116">
        <v>0.8326388888888889</v>
      </c>
      <c r="C367" s="116">
        <v>0.9791666666666666</v>
      </c>
      <c r="D367" s="116">
        <v>0.1875</v>
      </c>
      <c r="E367" s="116">
        <v>0.32916666666666666</v>
      </c>
      <c r="F367" t="s">
        <v>157</v>
      </c>
      <c r="H367" s="59">
        <f t="shared" si="46"/>
        <v>0.02083333333333337</v>
      </c>
      <c r="I367" s="234">
        <f t="shared" si="47"/>
        <v>0.1465277777777777</v>
      </c>
      <c r="J367" s="234">
        <f t="shared" si="48"/>
        <v>-0.14166666666666666</v>
      </c>
      <c r="K367" s="121">
        <f t="shared" si="49"/>
        <v>0.28819444444444436</v>
      </c>
      <c r="L367" s="233">
        <f t="shared" si="50"/>
        <v>0.20833333333333337</v>
      </c>
      <c r="M367" s="121">
        <f t="shared" si="45"/>
        <v>0.49652777777777773</v>
      </c>
      <c r="N367" s="59">
        <f t="shared" si="51"/>
        <v>6.916666667773332</v>
      </c>
      <c r="O367" s="59">
        <f t="shared" si="51"/>
        <v>5.000000000800001</v>
      </c>
      <c r="P367" s="101">
        <f>Puissance_en_nominale*Simulation!N367+Puissance_en_economie*Simulation!O367</f>
        <v>442.30534033541915</v>
      </c>
      <c r="Q367" s="101">
        <f t="shared" si="52"/>
        <v>597.0250000955241</v>
      </c>
      <c r="R367" s="128">
        <f t="shared" si="53"/>
        <v>0.25915105688262596</v>
      </c>
    </row>
    <row r="368" spans="1:18" ht="12.75">
      <c r="A368" t="s">
        <v>529</v>
      </c>
      <c r="B368" s="116">
        <v>0.8326388888888889</v>
      </c>
      <c r="C368" s="116">
        <v>0.9791666666666666</v>
      </c>
      <c r="D368" s="116">
        <v>0.1875</v>
      </c>
      <c r="E368" s="116">
        <v>0.34652777777777777</v>
      </c>
      <c r="F368" t="s">
        <v>157</v>
      </c>
      <c r="H368" s="59">
        <f t="shared" si="46"/>
        <v>0.02083333333333337</v>
      </c>
      <c r="I368" s="234">
        <f t="shared" si="47"/>
        <v>0.1465277777777777</v>
      </c>
      <c r="J368" s="234">
        <f t="shared" si="48"/>
        <v>-0.15902777777777777</v>
      </c>
      <c r="K368" s="121">
        <f t="shared" si="49"/>
        <v>0.30555555555555547</v>
      </c>
      <c r="L368" s="233">
        <f t="shared" si="50"/>
        <v>0.20833333333333337</v>
      </c>
      <c r="M368" s="121">
        <f t="shared" si="45"/>
        <v>0.5138888888888888</v>
      </c>
      <c r="N368" s="59">
        <f t="shared" si="51"/>
        <v>7.333333334506665</v>
      </c>
      <c r="O368" s="59">
        <f t="shared" si="51"/>
        <v>5.000000000800001</v>
      </c>
      <c r="P368" s="101">
        <f>Puissance_en_nominale*Simulation!N368+Puissance_en_economie*Simulation!O368</f>
        <v>459.70775054614296</v>
      </c>
      <c r="Q368" s="101">
        <f t="shared" si="52"/>
        <v>617.9000000988641</v>
      </c>
      <c r="R368" s="128">
        <f t="shared" si="53"/>
        <v>0.2560159403259594</v>
      </c>
    </row>
    <row r="369" spans="1:18" ht="12.75">
      <c r="A369" t="s">
        <v>530</v>
      </c>
      <c r="B369" s="116">
        <v>0.8118055555555556</v>
      </c>
      <c r="C369" s="116">
        <v>0.9583333333333334</v>
      </c>
      <c r="D369" s="116">
        <v>0.20833333333333334</v>
      </c>
      <c r="E369" s="116">
        <v>0.34652777777777777</v>
      </c>
      <c r="F369" t="s">
        <v>180</v>
      </c>
      <c r="H369" s="59">
        <f t="shared" si="46"/>
        <v>0.04166666666666663</v>
      </c>
      <c r="I369" s="234">
        <f t="shared" si="47"/>
        <v>0.1465277777777778</v>
      </c>
      <c r="J369" s="234">
        <f t="shared" si="48"/>
        <v>-0.13819444444444443</v>
      </c>
      <c r="K369" s="121">
        <f t="shared" si="49"/>
        <v>0.2847222222222222</v>
      </c>
      <c r="L369" s="233">
        <f t="shared" si="50"/>
        <v>0.24999999999999997</v>
      </c>
      <c r="M369" s="121">
        <f t="shared" si="45"/>
        <v>0.5347222222222222</v>
      </c>
      <c r="N369" s="59">
        <f t="shared" si="51"/>
        <v>6.8333333344266665</v>
      </c>
      <c r="O369" s="59">
        <f t="shared" si="51"/>
        <v>6.00000000096</v>
      </c>
      <c r="P369" s="101">
        <f>Puissance_en_nominale*Simulation!N369+Puissance_en_economie*Simulation!O369</f>
        <v>469.50992446075486</v>
      </c>
      <c r="Q369" s="101">
        <f t="shared" si="52"/>
        <v>642.9500001028721</v>
      </c>
      <c r="R369" s="128">
        <f t="shared" si="53"/>
        <v>0.2697567083200354</v>
      </c>
    </row>
    <row r="370" spans="1:18" ht="12.75">
      <c r="A370" t="s">
        <v>531</v>
      </c>
      <c r="B370" s="116">
        <v>0.8118055555555556</v>
      </c>
      <c r="C370" s="116">
        <v>0.9583333333333334</v>
      </c>
      <c r="D370" s="116">
        <v>0.20833333333333334</v>
      </c>
      <c r="E370" s="116">
        <v>0.32916666666666666</v>
      </c>
      <c r="F370" t="s">
        <v>180</v>
      </c>
      <c r="H370" s="59">
        <f t="shared" si="46"/>
        <v>0.04166666666666663</v>
      </c>
      <c r="I370" s="234">
        <f t="shared" si="47"/>
        <v>0.1465277777777778</v>
      </c>
      <c r="J370" s="234">
        <f t="shared" si="48"/>
        <v>-0.12083333333333332</v>
      </c>
      <c r="K370" s="121">
        <f t="shared" si="49"/>
        <v>0.26736111111111116</v>
      </c>
      <c r="L370" s="233">
        <f t="shared" si="50"/>
        <v>0.24999999999999997</v>
      </c>
      <c r="M370" s="121">
        <f t="shared" si="45"/>
        <v>0.5173611111111112</v>
      </c>
      <c r="N370" s="59">
        <f t="shared" si="51"/>
        <v>6.416666667693335</v>
      </c>
      <c r="O370" s="59">
        <f t="shared" si="51"/>
        <v>6.00000000096</v>
      </c>
      <c r="P370" s="101">
        <f>Puissance_en_nominale*Simulation!N370+Puissance_en_economie*Simulation!O370</f>
        <v>452.10751425003104</v>
      </c>
      <c r="Q370" s="101">
        <f t="shared" si="52"/>
        <v>622.0750000995322</v>
      </c>
      <c r="R370" s="128">
        <f t="shared" si="53"/>
        <v>0.2732266781695234</v>
      </c>
    </row>
    <row r="371" spans="1:18" ht="12.75">
      <c r="A371" t="s">
        <v>532</v>
      </c>
      <c r="B371" s="116">
        <v>0.8326388888888889</v>
      </c>
      <c r="C371" s="116">
        <v>0.9791666666666666</v>
      </c>
      <c r="D371" s="116">
        <v>0.1875</v>
      </c>
      <c r="E371" s="116">
        <v>0.32916666666666666</v>
      </c>
      <c r="F371" t="s">
        <v>157</v>
      </c>
      <c r="H371" s="59">
        <f t="shared" si="46"/>
        <v>0.02083333333333337</v>
      </c>
      <c r="I371" s="234">
        <f t="shared" si="47"/>
        <v>0.1465277777777777</v>
      </c>
      <c r="J371" s="234">
        <f t="shared" si="48"/>
        <v>-0.14166666666666666</v>
      </c>
      <c r="K371" s="121">
        <f t="shared" si="49"/>
        <v>0.28819444444444436</v>
      </c>
      <c r="L371" s="233">
        <f t="shared" si="50"/>
        <v>0.20833333333333337</v>
      </c>
      <c r="M371" s="121">
        <f t="shared" si="45"/>
        <v>0.49652777777777773</v>
      </c>
      <c r="N371" s="59">
        <f t="shared" si="51"/>
        <v>6.916666667773332</v>
      </c>
      <c r="O371" s="59">
        <f t="shared" si="51"/>
        <v>5.000000000800001</v>
      </c>
      <c r="P371" s="101">
        <f>Puissance_en_nominale*Simulation!N371+Puissance_en_economie*Simulation!O371</f>
        <v>442.30534033541915</v>
      </c>
      <c r="Q371" s="101">
        <f t="shared" si="52"/>
        <v>597.0250000955241</v>
      </c>
      <c r="R371" s="128">
        <f t="shared" si="53"/>
        <v>0.25915105688262596</v>
      </c>
    </row>
    <row r="372" spans="1:18" ht="12.75">
      <c r="A372" t="s">
        <v>533</v>
      </c>
      <c r="B372" s="116">
        <v>0.8326388888888889</v>
      </c>
      <c r="C372" s="116">
        <v>0.9791666666666666</v>
      </c>
      <c r="D372" s="116">
        <v>0.1875</v>
      </c>
      <c r="E372" s="116">
        <v>0.32916666666666666</v>
      </c>
      <c r="F372" t="s">
        <v>157</v>
      </c>
      <c r="H372" s="59">
        <f t="shared" si="46"/>
        <v>0.02083333333333337</v>
      </c>
      <c r="I372" s="234">
        <f t="shared" si="47"/>
        <v>0.1465277777777777</v>
      </c>
      <c r="J372" s="234">
        <f t="shared" si="48"/>
        <v>-0.14166666666666666</v>
      </c>
      <c r="K372" s="121">
        <f t="shared" si="49"/>
        <v>0.28819444444444436</v>
      </c>
      <c r="L372" s="233">
        <f t="shared" si="50"/>
        <v>0.20833333333333337</v>
      </c>
      <c r="M372" s="121">
        <f t="shared" si="45"/>
        <v>0.49652777777777773</v>
      </c>
      <c r="N372" s="59">
        <f t="shared" si="51"/>
        <v>6.916666667773332</v>
      </c>
      <c r="O372" s="59">
        <f t="shared" si="51"/>
        <v>5.000000000800001</v>
      </c>
      <c r="P372" s="101">
        <f>Puissance_en_nominale*Simulation!N372+Puissance_en_economie*Simulation!O372</f>
        <v>442.30534033541915</v>
      </c>
      <c r="Q372" s="101">
        <f t="shared" si="52"/>
        <v>597.0250000955241</v>
      </c>
      <c r="R372" s="128">
        <f t="shared" si="53"/>
        <v>0.25915105688262596</v>
      </c>
    </row>
    <row r="373" spans="1:18" ht="12.75">
      <c r="A373" t="s">
        <v>534</v>
      </c>
      <c r="B373" s="116">
        <v>0.8326388888888889</v>
      </c>
      <c r="C373" s="116">
        <v>0.9791666666666666</v>
      </c>
      <c r="D373" s="116">
        <v>0.1875</v>
      </c>
      <c r="E373" s="116">
        <v>0.32916666666666666</v>
      </c>
      <c r="F373" t="s">
        <v>157</v>
      </c>
      <c r="H373" s="59">
        <f t="shared" si="46"/>
        <v>0.02083333333333337</v>
      </c>
      <c r="I373" s="234">
        <f t="shared" si="47"/>
        <v>0.1465277777777777</v>
      </c>
      <c r="J373" s="234">
        <f t="shared" si="48"/>
        <v>-0.14166666666666666</v>
      </c>
      <c r="K373" s="121">
        <f t="shared" si="49"/>
        <v>0.28819444444444436</v>
      </c>
      <c r="L373" s="233">
        <f t="shared" si="50"/>
        <v>0.20833333333333337</v>
      </c>
      <c r="M373" s="121">
        <f t="shared" si="45"/>
        <v>0.49652777777777773</v>
      </c>
      <c r="N373" s="59">
        <f t="shared" si="51"/>
        <v>6.916666667773332</v>
      </c>
      <c r="O373" s="59">
        <f t="shared" si="51"/>
        <v>5.000000000800001</v>
      </c>
      <c r="P373" s="101">
        <f>Puissance_en_nominale*Simulation!N373+Puissance_en_economie*Simulation!O373</f>
        <v>442.30534033541915</v>
      </c>
      <c r="Q373" s="101">
        <f t="shared" si="52"/>
        <v>597.0250000955241</v>
      </c>
      <c r="R373" s="128">
        <f t="shared" si="53"/>
        <v>0.25915105688262596</v>
      </c>
    </row>
    <row r="374" spans="1:18" ht="12.75">
      <c r="A374" t="s">
        <v>535</v>
      </c>
      <c r="B374" s="116">
        <v>0.8326388888888889</v>
      </c>
      <c r="C374" s="116">
        <v>0.9791666666666666</v>
      </c>
      <c r="D374" s="116">
        <v>0.1875</v>
      </c>
      <c r="E374" s="116">
        <v>0.32916666666666666</v>
      </c>
      <c r="F374" t="s">
        <v>157</v>
      </c>
      <c r="H374" s="59">
        <f t="shared" si="46"/>
        <v>0.02083333333333337</v>
      </c>
      <c r="I374" s="234">
        <f t="shared" si="47"/>
        <v>0.1465277777777777</v>
      </c>
      <c r="J374" s="234">
        <f t="shared" si="48"/>
        <v>-0.14166666666666666</v>
      </c>
      <c r="K374" s="121">
        <f t="shared" si="49"/>
        <v>0.28819444444444436</v>
      </c>
      <c r="L374" s="233">
        <f t="shared" si="50"/>
        <v>0.20833333333333337</v>
      </c>
      <c r="M374" s="121">
        <f t="shared" si="45"/>
        <v>0.49652777777777773</v>
      </c>
      <c r="N374" s="59">
        <f t="shared" si="51"/>
        <v>6.916666667773332</v>
      </c>
      <c r="O374" s="59">
        <f t="shared" si="51"/>
        <v>5.000000000800001</v>
      </c>
      <c r="P374" s="101">
        <f>Puissance_en_nominale*Simulation!N374+Puissance_en_economie*Simulation!O374</f>
        <v>442.30534033541915</v>
      </c>
      <c r="Q374" s="101">
        <f t="shared" si="52"/>
        <v>597.0250000955241</v>
      </c>
      <c r="R374" s="128">
        <f t="shared" si="53"/>
        <v>0.25915105688262596</v>
      </c>
    </row>
    <row r="375" spans="1:18" ht="12.75">
      <c r="A375" t="s">
        <v>536</v>
      </c>
      <c r="B375" s="116">
        <v>0.8326388888888889</v>
      </c>
      <c r="C375" s="116">
        <v>0.9791666666666666</v>
      </c>
      <c r="D375" s="116">
        <v>0.1875</v>
      </c>
      <c r="E375" s="116">
        <v>0.34652777777777777</v>
      </c>
      <c r="F375" t="s">
        <v>157</v>
      </c>
      <c r="H375" s="59">
        <f t="shared" si="46"/>
        <v>0.02083333333333337</v>
      </c>
      <c r="I375" s="234">
        <f t="shared" si="47"/>
        <v>0.1465277777777777</v>
      </c>
      <c r="J375" s="234">
        <f t="shared" si="48"/>
        <v>-0.15902777777777777</v>
      </c>
      <c r="K375" s="121">
        <f t="shared" si="49"/>
        <v>0.30555555555555547</v>
      </c>
      <c r="L375" s="233">
        <f t="shared" si="50"/>
        <v>0.20833333333333337</v>
      </c>
      <c r="M375" s="121">
        <f t="shared" si="45"/>
        <v>0.5138888888888888</v>
      </c>
      <c r="N375" s="59">
        <f t="shared" si="51"/>
        <v>7.333333334506665</v>
      </c>
      <c r="O375" s="59">
        <f t="shared" si="51"/>
        <v>5.000000000800001</v>
      </c>
      <c r="P375" s="101">
        <f>Puissance_en_nominale*Simulation!N375+Puissance_en_economie*Simulation!O375</f>
        <v>459.70775054614296</v>
      </c>
      <c r="Q375" s="101">
        <f t="shared" si="52"/>
        <v>617.9000000988641</v>
      </c>
      <c r="R375" s="128">
        <f t="shared" si="53"/>
        <v>0.2560159403259594</v>
      </c>
    </row>
    <row r="376" spans="1:18" ht="12.75">
      <c r="A376" t="s">
        <v>537</v>
      </c>
      <c r="B376" s="116">
        <v>0.8118055555555556</v>
      </c>
      <c r="C376" s="116">
        <v>0.9583333333333334</v>
      </c>
      <c r="D376" s="116">
        <v>0.20833333333333334</v>
      </c>
      <c r="E376" s="116">
        <v>0.34652777777777777</v>
      </c>
      <c r="F376" t="s">
        <v>180</v>
      </c>
      <c r="H376" s="59">
        <f t="shared" si="46"/>
        <v>0.04166666666666663</v>
      </c>
      <c r="I376" s="234">
        <f t="shared" si="47"/>
        <v>0.1465277777777778</v>
      </c>
      <c r="J376" s="234">
        <f t="shared" si="48"/>
        <v>-0.13819444444444443</v>
      </c>
      <c r="K376" s="121">
        <f t="shared" si="49"/>
        <v>0.2847222222222222</v>
      </c>
      <c r="L376" s="233">
        <f t="shared" si="50"/>
        <v>0.24999999999999997</v>
      </c>
      <c r="M376" s="121">
        <f t="shared" si="45"/>
        <v>0.5347222222222222</v>
      </c>
      <c r="N376" s="59">
        <f t="shared" si="51"/>
        <v>6.8333333344266665</v>
      </c>
      <c r="O376" s="59">
        <f t="shared" si="51"/>
        <v>6.00000000096</v>
      </c>
      <c r="P376" s="101">
        <f>Puissance_en_nominale*Simulation!N376+Puissance_en_economie*Simulation!O376</f>
        <v>469.50992446075486</v>
      </c>
      <c r="Q376" s="101">
        <f t="shared" si="52"/>
        <v>642.9500001028721</v>
      </c>
      <c r="R376" s="128">
        <f t="shared" si="53"/>
        <v>0.2697567083200354</v>
      </c>
    </row>
    <row r="377" spans="1:18" ht="12.75">
      <c r="A377" t="s">
        <v>538</v>
      </c>
      <c r="B377" s="116">
        <v>0.8118055555555556</v>
      </c>
      <c r="C377" s="116">
        <v>0.9583333333333334</v>
      </c>
      <c r="D377" s="116">
        <v>0.20833333333333334</v>
      </c>
      <c r="E377" s="116">
        <v>0.32916666666666666</v>
      </c>
      <c r="F377" t="s">
        <v>180</v>
      </c>
      <c r="H377" s="59">
        <f t="shared" si="46"/>
        <v>0.04166666666666663</v>
      </c>
      <c r="I377" s="234">
        <f t="shared" si="47"/>
        <v>0.1465277777777778</v>
      </c>
      <c r="J377" s="234">
        <f t="shared" si="48"/>
        <v>-0.12083333333333332</v>
      </c>
      <c r="K377" s="121">
        <f t="shared" si="49"/>
        <v>0.26736111111111116</v>
      </c>
      <c r="L377" s="233">
        <f t="shared" si="50"/>
        <v>0.24999999999999997</v>
      </c>
      <c r="M377" s="121">
        <f t="shared" si="45"/>
        <v>0.5173611111111112</v>
      </c>
      <c r="N377" s="59">
        <f t="shared" si="51"/>
        <v>6.416666667693335</v>
      </c>
      <c r="O377" s="59">
        <f t="shared" si="51"/>
        <v>6.00000000096</v>
      </c>
      <c r="P377" s="101">
        <f>Puissance_en_nominale*Simulation!N377+Puissance_en_economie*Simulation!O377</f>
        <v>452.10751425003104</v>
      </c>
      <c r="Q377" s="101">
        <f t="shared" si="52"/>
        <v>622.0750000995322</v>
      </c>
      <c r="R377" s="128">
        <f t="shared" si="53"/>
        <v>0.2732266781695234</v>
      </c>
    </row>
    <row r="378" spans="1:18" ht="12.75">
      <c r="A378" t="s">
        <v>539</v>
      </c>
      <c r="B378" s="116">
        <v>0.8326388888888889</v>
      </c>
      <c r="C378" s="116">
        <v>0.9791666666666666</v>
      </c>
      <c r="D378" s="116">
        <v>0.1875</v>
      </c>
      <c r="E378" s="116">
        <v>0.32916666666666666</v>
      </c>
      <c r="F378" t="s">
        <v>157</v>
      </c>
      <c r="H378" s="59">
        <f t="shared" si="46"/>
        <v>0.02083333333333337</v>
      </c>
      <c r="I378" s="234">
        <f t="shared" si="47"/>
        <v>0.1465277777777777</v>
      </c>
      <c r="J378" s="234">
        <f t="shared" si="48"/>
        <v>-0.14166666666666666</v>
      </c>
      <c r="K378" s="121">
        <f t="shared" si="49"/>
        <v>0.28819444444444436</v>
      </c>
      <c r="L378" s="233">
        <f t="shared" si="50"/>
        <v>0.20833333333333337</v>
      </c>
      <c r="M378" s="121">
        <f t="shared" si="45"/>
        <v>0.49652777777777773</v>
      </c>
      <c r="N378" s="59">
        <f t="shared" si="51"/>
        <v>6.916666667773332</v>
      </c>
      <c r="O378" s="59">
        <f t="shared" si="51"/>
        <v>5.000000000800001</v>
      </c>
      <c r="P378" s="101">
        <f>Puissance_en_nominale*Simulation!N378+Puissance_en_economie*Simulation!O378</f>
        <v>442.30534033541915</v>
      </c>
      <c r="Q378" s="101">
        <f t="shared" si="52"/>
        <v>597.0250000955241</v>
      </c>
      <c r="R378" s="128">
        <f t="shared" si="53"/>
        <v>0.25915105688262596</v>
      </c>
    </row>
    <row r="379" spans="1:18" ht="12.75">
      <c r="A379" t="s">
        <v>540</v>
      </c>
      <c r="B379" s="116">
        <v>0.8326388888888889</v>
      </c>
      <c r="C379" s="116">
        <v>0.9791666666666666</v>
      </c>
      <c r="D379" s="116">
        <v>0.1875</v>
      </c>
      <c r="E379" s="116">
        <v>0.32916666666666666</v>
      </c>
      <c r="F379" t="s">
        <v>157</v>
      </c>
      <c r="H379" s="59">
        <f t="shared" si="46"/>
        <v>0.02083333333333337</v>
      </c>
      <c r="I379" s="234">
        <f t="shared" si="47"/>
        <v>0.1465277777777777</v>
      </c>
      <c r="J379" s="234">
        <f t="shared" si="48"/>
        <v>-0.14166666666666666</v>
      </c>
      <c r="K379" s="121">
        <f t="shared" si="49"/>
        <v>0.28819444444444436</v>
      </c>
      <c r="L379" s="233">
        <f t="shared" si="50"/>
        <v>0.20833333333333337</v>
      </c>
      <c r="M379" s="121">
        <f t="shared" si="45"/>
        <v>0.49652777777777773</v>
      </c>
      <c r="N379" s="59">
        <f t="shared" si="51"/>
        <v>6.916666667773332</v>
      </c>
      <c r="O379" s="59">
        <v>10</v>
      </c>
      <c r="P379" s="101">
        <f>Puissance_en_nominale*Simulation!N379+Puissance_en_economie*Simulation!O379</f>
        <v>595.7306711237254</v>
      </c>
      <c r="Q379" s="101">
        <f t="shared" si="52"/>
        <v>847.525000055444</v>
      </c>
      <c r="R379" s="128">
        <f t="shared" si="53"/>
        <v>0.29709368917170176</v>
      </c>
    </row>
    <row r="380" spans="2:19" ht="15">
      <c r="B380" s="116">
        <v>0.7243055555555555</v>
      </c>
      <c r="C380" s="116">
        <v>0.9583333333333334</v>
      </c>
      <c r="D380" s="116">
        <v>0.25</v>
      </c>
      <c r="E380" s="116">
        <v>0.3263888888888889</v>
      </c>
      <c r="F380" t="s">
        <v>143</v>
      </c>
      <c r="H380" s="59">
        <f t="shared" si="46"/>
        <v>0.04166666666666663</v>
      </c>
      <c r="I380" s="234">
        <f t="shared" si="47"/>
        <v>0.23402777777777783</v>
      </c>
      <c r="J380" s="234">
        <f t="shared" si="48"/>
        <v>-0.0763888888888889</v>
      </c>
      <c r="K380" s="121">
        <f t="shared" si="49"/>
        <v>0.31041666666666673</v>
      </c>
      <c r="L380" s="233">
        <f t="shared" si="50"/>
        <v>0.29166666666666663</v>
      </c>
      <c r="M380" s="167">
        <f>SUM(M15:M379)</f>
        <v>185.37569444444418</v>
      </c>
      <c r="N380" s="170">
        <f>SUM(N15:N379)</f>
        <v>2520.016667069873</v>
      </c>
      <c r="O380" s="170">
        <f>SUM(O15:O379)</f>
        <v>1934.0000003078271</v>
      </c>
      <c r="P380" s="133">
        <f>SUM(P15:P379)</f>
        <v>164595.39101872448</v>
      </c>
      <c r="Q380" s="134"/>
      <c r="R380" s="122"/>
      <c r="S380" s="123" t="s">
        <v>144</v>
      </c>
    </row>
    <row r="381" spans="4:17" ht="12.75">
      <c r="D381" s="116"/>
      <c r="E381" s="116"/>
      <c r="F381" s="116"/>
      <c r="G381" s="116"/>
      <c r="H381" s="116"/>
      <c r="I381" s="116"/>
      <c r="J381" s="116"/>
      <c r="K381" s="118"/>
      <c r="L381" s="166"/>
      <c r="M381" s="126"/>
      <c r="N381" s="170">
        <f>SUM(N380:O380)</f>
        <v>4454.0166673777</v>
      </c>
      <c r="O381" s="126"/>
      <c r="P381" s="135"/>
      <c r="Q381" s="135"/>
    </row>
    <row r="382" spans="3:17" ht="12.75">
      <c r="C382" s="115"/>
      <c r="D382" s="116"/>
      <c r="E382" s="116"/>
      <c r="F382" s="116"/>
      <c r="G382" s="116"/>
      <c r="H382" s="116"/>
      <c r="I382" s="116"/>
      <c r="J382" s="116"/>
      <c r="K382" s="118"/>
      <c r="L382" s="166"/>
      <c r="M382" s="126"/>
      <c r="N382" s="126"/>
      <c r="O382" s="126"/>
      <c r="P382" s="135"/>
      <c r="Q382" s="135"/>
    </row>
    <row r="383" spans="3:17" ht="12.75">
      <c r="C383" s="115"/>
      <c r="D383" s="116"/>
      <c r="E383" s="116"/>
      <c r="F383" s="116"/>
      <c r="G383" s="116"/>
      <c r="H383" s="116"/>
      <c r="I383" s="116"/>
      <c r="J383" s="116"/>
      <c r="K383" s="118"/>
      <c r="L383" s="166"/>
      <c r="M383" s="126"/>
      <c r="N383" s="126"/>
      <c r="O383" s="126"/>
      <c r="P383" s="135"/>
      <c r="Q383" s="135"/>
    </row>
    <row r="384" spans="3:17" ht="12.75">
      <c r="C384" s="115"/>
      <c r="D384" s="116"/>
      <c r="E384" s="116"/>
      <c r="F384" s="116"/>
      <c r="G384" s="116"/>
      <c r="H384" s="116"/>
      <c r="I384" s="116"/>
      <c r="J384" s="116"/>
      <c r="K384" s="118"/>
      <c r="L384" s="166"/>
      <c r="M384" s="126"/>
      <c r="N384" s="126"/>
      <c r="O384" s="126"/>
      <c r="P384" s="135"/>
      <c r="Q384" s="135"/>
    </row>
    <row r="385" spans="3:17" ht="12.75">
      <c r="C385" s="115"/>
      <c r="D385" s="116"/>
      <c r="E385" s="116"/>
      <c r="F385" s="116"/>
      <c r="G385" s="116"/>
      <c r="H385" s="116"/>
      <c r="I385" s="116"/>
      <c r="J385" s="116"/>
      <c r="K385" s="118"/>
      <c r="L385" s="166"/>
      <c r="M385" s="126"/>
      <c r="N385" s="126"/>
      <c r="O385" s="126"/>
      <c r="P385" s="135"/>
      <c r="Q385" s="135"/>
    </row>
    <row r="386" spans="3:17" ht="12.75">
      <c r="C386" s="115"/>
      <c r="D386" s="116"/>
      <c r="E386" s="116"/>
      <c r="F386" s="116"/>
      <c r="G386" s="116"/>
      <c r="H386" s="116"/>
      <c r="I386" s="116"/>
      <c r="J386" s="116"/>
      <c r="K386" s="118"/>
      <c r="L386" s="166"/>
      <c r="M386" s="126"/>
      <c r="N386" s="126"/>
      <c r="O386" s="126"/>
      <c r="P386" s="135"/>
      <c r="Q386" s="135"/>
    </row>
    <row r="387" spans="3:17" ht="12.75">
      <c r="C387" s="115"/>
      <c r="D387" s="116"/>
      <c r="E387" s="116"/>
      <c r="F387" s="116"/>
      <c r="G387" s="116"/>
      <c r="H387" s="116"/>
      <c r="I387" s="116"/>
      <c r="J387" s="116"/>
      <c r="K387" s="118"/>
      <c r="L387" s="166"/>
      <c r="M387" s="126"/>
      <c r="N387" s="126"/>
      <c r="O387" s="126"/>
      <c r="P387" s="135"/>
      <c r="Q387" s="135"/>
    </row>
    <row r="388" spans="3:17" ht="12.75">
      <c r="C388" s="115"/>
      <c r="D388" s="116"/>
      <c r="E388" s="116"/>
      <c r="F388" s="116"/>
      <c r="G388" s="116"/>
      <c r="H388" s="116"/>
      <c r="I388" s="116"/>
      <c r="J388" s="116"/>
      <c r="K388" s="118"/>
      <c r="L388" s="166"/>
      <c r="M388" s="126"/>
      <c r="N388" s="126"/>
      <c r="O388" s="126"/>
      <c r="P388" s="135"/>
      <c r="Q388" s="135"/>
    </row>
    <row r="389" spans="3:17" ht="12.75">
      <c r="C389" s="115"/>
      <c r="D389" s="116"/>
      <c r="E389" s="116"/>
      <c r="F389" s="116"/>
      <c r="G389" s="116"/>
      <c r="H389" s="116"/>
      <c r="I389" s="116"/>
      <c r="J389" s="116"/>
      <c r="K389" s="118"/>
      <c r="L389" s="166"/>
      <c r="M389" s="126"/>
      <c r="N389" s="126"/>
      <c r="O389" s="126"/>
      <c r="P389" s="135"/>
      <c r="Q389" s="135"/>
    </row>
    <row r="390" spans="3:17" ht="12.75">
      <c r="C390" s="115"/>
      <c r="D390" s="116"/>
      <c r="E390" s="116"/>
      <c r="F390" s="116"/>
      <c r="G390" s="116"/>
      <c r="H390" s="116"/>
      <c r="I390" s="116"/>
      <c r="J390" s="116"/>
      <c r="K390" s="118"/>
      <c r="L390" s="166"/>
      <c r="M390" s="126"/>
      <c r="N390" s="126"/>
      <c r="O390" s="126"/>
      <c r="P390" s="135"/>
      <c r="Q390" s="135"/>
    </row>
    <row r="391" spans="3:17" ht="12.75">
      <c r="C391" s="115"/>
      <c r="D391" s="116"/>
      <c r="E391" s="116"/>
      <c r="F391" s="116"/>
      <c r="G391" s="116"/>
      <c r="H391" s="116"/>
      <c r="I391" s="116"/>
      <c r="J391" s="116"/>
      <c r="K391" s="118"/>
      <c r="L391" s="166"/>
      <c r="M391" s="126"/>
      <c r="N391" s="126"/>
      <c r="O391" s="126"/>
      <c r="P391" s="135"/>
      <c r="Q391" s="135"/>
    </row>
    <row r="392" spans="3:17" ht="12.75">
      <c r="C392" s="115"/>
      <c r="D392" s="116"/>
      <c r="E392" s="116"/>
      <c r="F392" s="116"/>
      <c r="G392" s="116"/>
      <c r="H392" s="116"/>
      <c r="I392" s="116"/>
      <c r="J392" s="116"/>
      <c r="K392" s="118"/>
      <c r="L392" s="166"/>
      <c r="M392" s="126"/>
      <c r="N392" s="126"/>
      <c r="O392" s="126"/>
      <c r="P392" s="135"/>
      <c r="Q392" s="135"/>
    </row>
    <row r="393" spans="3:17" ht="12.75">
      <c r="C393" s="115"/>
      <c r="D393" s="116"/>
      <c r="E393" s="116"/>
      <c r="F393" s="116"/>
      <c r="G393" s="116"/>
      <c r="H393" s="116"/>
      <c r="I393" s="116"/>
      <c r="J393" s="116"/>
      <c r="K393" s="118"/>
      <c r="L393" s="166"/>
      <c r="M393" s="126"/>
      <c r="N393" s="126"/>
      <c r="O393" s="126"/>
      <c r="P393" s="135"/>
      <c r="Q393" s="135"/>
    </row>
    <row r="394" spans="4:17" ht="12.75">
      <c r="D394" s="116"/>
      <c r="E394" s="116"/>
      <c r="F394" s="116"/>
      <c r="G394" s="116"/>
      <c r="H394" s="116"/>
      <c r="I394" s="116"/>
      <c r="J394" s="116"/>
      <c r="K394" s="118"/>
      <c r="L394" s="118"/>
      <c r="M394" s="126"/>
      <c r="N394" s="126"/>
      <c r="O394" s="126"/>
      <c r="P394" s="135"/>
      <c r="Q394" s="135"/>
    </row>
    <row r="395" spans="4:17" ht="12.75">
      <c r="D395" s="116"/>
      <c r="E395" s="116"/>
      <c r="F395" s="116"/>
      <c r="G395" s="116"/>
      <c r="H395" s="116"/>
      <c r="I395" s="116"/>
      <c r="J395" s="116"/>
      <c r="K395" s="118"/>
      <c r="L395" s="118"/>
      <c r="M395" s="126"/>
      <c r="N395" s="126"/>
      <c r="O395" s="126"/>
      <c r="P395" s="135"/>
      <c r="Q395" s="135"/>
    </row>
    <row r="396" spans="4:17" ht="12.75">
      <c r="D396" s="116"/>
      <c r="E396" s="116"/>
      <c r="F396" s="116"/>
      <c r="G396" s="116"/>
      <c r="H396" s="116"/>
      <c r="I396" s="116"/>
      <c r="J396" s="116"/>
      <c r="K396" s="118"/>
      <c r="L396" s="118"/>
      <c r="M396" s="126"/>
      <c r="N396" s="126"/>
      <c r="O396" s="126"/>
      <c r="P396" s="135"/>
      <c r="Q396" s="135"/>
    </row>
    <row r="397" spans="4:17" ht="12.75">
      <c r="D397" s="116"/>
      <c r="E397" s="116"/>
      <c r="F397" s="116"/>
      <c r="G397" s="116"/>
      <c r="H397" s="116"/>
      <c r="I397" s="116"/>
      <c r="J397" s="116"/>
      <c r="K397" s="118"/>
      <c r="L397" s="118"/>
      <c r="M397" s="126"/>
      <c r="N397" s="126"/>
      <c r="O397" s="126"/>
      <c r="P397" s="135"/>
      <c r="Q397" s="135"/>
    </row>
    <row r="398" spans="4:17" ht="12.75">
      <c r="D398" s="116"/>
      <c r="E398" s="116"/>
      <c r="F398" s="116"/>
      <c r="G398" s="116"/>
      <c r="H398" s="116"/>
      <c r="I398" s="116"/>
      <c r="J398" s="116"/>
      <c r="K398" s="118"/>
      <c r="L398" s="118"/>
      <c r="M398" s="126"/>
      <c r="N398" s="126"/>
      <c r="O398" s="126"/>
      <c r="P398" s="135"/>
      <c r="Q398" s="135"/>
    </row>
    <row r="399" spans="4:17" ht="12.75">
      <c r="D399" s="116"/>
      <c r="E399" s="116"/>
      <c r="F399" s="116"/>
      <c r="G399" s="116"/>
      <c r="H399" s="116"/>
      <c r="I399" s="116"/>
      <c r="J399" s="116"/>
      <c r="K399" s="118"/>
      <c r="L399" s="118"/>
      <c r="M399" s="126"/>
      <c r="N399" s="126"/>
      <c r="O399" s="126"/>
      <c r="P399" s="135"/>
      <c r="Q399" s="135"/>
    </row>
    <row r="400" spans="4:17" ht="12.75">
      <c r="D400" s="116"/>
      <c r="E400" s="116"/>
      <c r="F400" s="116"/>
      <c r="G400" s="116"/>
      <c r="H400" s="116"/>
      <c r="I400" s="116"/>
      <c r="J400" s="116"/>
      <c r="K400" s="118"/>
      <c r="L400" s="118"/>
      <c r="M400" s="126"/>
      <c r="N400" s="126"/>
      <c r="O400" s="126"/>
      <c r="P400" s="135"/>
      <c r="Q400" s="135"/>
    </row>
    <row r="401" spans="4:17" ht="12.75">
      <c r="D401" s="116"/>
      <c r="E401" s="116"/>
      <c r="F401" s="116"/>
      <c r="G401" s="116"/>
      <c r="H401" s="116"/>
      <c r="I401" s="116"/>
      <c r="J401" s="116"/>
      <c r="K401" s="118"/>
      <c r="L401" s="118"/>
      <c r="M401" s="126"/>
      <c r="N401" s="126"/>
      <c r="O401" s="126"/>
      <c r="P401" s="135"/>
      <c r="Q401" s="135"/>
    </row>
    <row r="402" spans="4:17" ht="12.75">
      <c r="D402" s="116"/>
      <c r="E402" s="116"/>
      <c r="F402" s="116"/>
      <c r="G402" s="116"/>
      <c r="H402" s="116"/>
      <c r="I402" s="116"/>
      <c r="J402" s="116"/>
      <c r="K402" s="118"/>
      <c r="L402" s="118"/>
      <c r="M402" s="126"/>
      <c r="N402" s="126"/>
      <c r="O402" s="126"/>
      <c r="P402" s="135"/>
      <c r="Q402" s="135"/>
    </row>
    <row r="403" spans="4:17" ht="12.75">
      <c r="D403" s="116"/>
      <c r="E403" s="116"/>
      <c r="F403" s="116"/>
      <c r="G403" s="116"/>
      <c r="H403" s="116"/>
      <c r="I403" s="116"/>
      <c r="J403" s="116"/>
      <c r="K403" s="118"/>
      <c r="L403" s="118"/>
      <c r="M403" s="126"/>
      <c r="N403" s="126"/>
      <c r="O403" s="126"/>
      <c r="P403" s="135"/>
      <c r="Q403" s="135"/>
    </row>
    <row r="404" spans="4:17" ht="12.75">
      <c r="D404" s="116"/>
      <c r="E404" s="116"/>
      <c r="F404" s="116"/>
      <c r="G404" s="116"/>
      <c r="H404" s="116"/>
      <c r="I404" s="116"/>
      <c r="J404" s="116"/>
      <c r="K404" s="118"/>
      <c r="L404" s="118"/>
      <c r="M404" s="126"/>
      <c r="N404" s="126"/>
      <c r="O404" s="126"/>
      <c r="P404" s="135"/>
      <c r="Q404" s="135"/>
    </row>
    <row r="405" spans="4:17" ht="12.75">
      <c r="D405" s="116"/>
      <c r="E405" s="116"/>
      <c r="F405" s="116"/>
      <c r="G405" s="116"/>
      <c r="H405" s="116"/>
      <c r="I405" s="116"/>
      <c r="J405" s="116"/>
      <c r="K405" s="118"/>
      <c r="L405" s="118"/>
      <c r="M405" s="126"/>
      <c r="N405" s="126"/>
      <c r="O405" s="126"/>
      <c r="P405" s="135"/>
      <c r="Q405" s="135"/>
    </row>
    <row r="406" spans="4:17" ht="12.75">
      <c r="D406" s="116"/>
      <c r="E406" s="116"/>
      <c r="F406" s="116"/>
      <c r="G406" s="116"/>
      <c r="H406" s="116"/>
      <c r="I406" s="116"/>
      <c r="J406" s="116"/>
      <c r="K406" s="118"/>
      <c r="L406" s="118"/>
      <c r="M406" s="126"/>
      <c r="N406" s="126"/>
      <c r="O406" s="126"/>
      <c r="P406" s="135"/>
      <c r="Q406" s="135"/>
    </row>
    <row r="407" spans="4:17" ht="12.75">
      <c r="D407" s="116"/>
      <c r="E407" s="116"/>
      <c r="F407" s="116"/>
      <c r="G407" s="116"/>
      <c r="H407" s="116"/>
      <c r="I407" s="116"/>
      <c r="J407" s="116"/>
      <c r="K407" s="118"/>
      <c r="L407" s="118"/>
      <c r="M407" s="126"/>
      <c r="N407" s="126"/>
      <c r="O407" s="126"/>
      <c r="P407" s="135"/>
      <c r="Q407" s="135"/>
    </row>
    <row r="408" spans="4:17" ht="12.75">
      <c r="D408" s="116"/>
      <c r="E408" s="116"/>
      <c r="F408" s="116"/>
      <c r="G408" s="116"/>
      <c r="H408" s="116"/>
      <c r="I408" s="116"/>
      <c r="J408" s="116"/>
      <c r="K408" s="118"/>
      <c r="L408" s="118"/>
      <c r="M408" s="126"/>
      <c r="N408" s="126"/>
      <c r="O408" s="126"/>
      <c r="P408" s="135"/>
      <c r="Q408" s="135"/>
    </row>
    <row r="409" spans="4:17" ht="12.75">
      <c r="D409" s="116"/>
      <c r="E409" s="116"/>
      <c r="F409" s="116"/>
      <c r="G409" s="116"/>
      <c r="H409" s="116"/>
      <c r="I409" s="116"/>
      <c r="J409" s="116"/>
      <c r="K409" s="118"/>
      <c r="L409" s="118"/>
      <c r="M409" s="126"/>
      <c r="N409" s="126"/>
      <c r="O409" s="126"/>
      <c r="P409" s="135"/>
      <c r="Q409" s="135"/>
    </row>
    <row r="410" spans="4:17" ht="12.75">
      <c r="D410" s="116"/>
      <c r="E410" s="116"/>
      <c r="F410" s="116"/>
      <c r="G410" s="116"/>
      <c r="H410" s="116"/>
      <c r="I410" s="116"/>
      <c r="J410" s="116"/>
      <c r="K410" s="118"/>
      <c r="L410" s="118"/>
      <c r="M410" s="126"/>
      <c r="N410" s="126"/>
      <c r="O410" s="126"/>
      <c r="P410" s="135"/>
      <c r="Q410" s="135"/>
    </row>
    <row r="411" spans="4:17" ht="12.75">
      <c r="D411" s="116"/>
      <c r="E411" s="116"/>
      <c r="F411" s="116"/>
      <c r="G411" s="116"/>
      <c r="H411" s="116"/>
      <c r="I411" s="116"/>
      <c r="J411" s="116"/>
      <c r="K411" s="118"/>
      <c r="L411" s="118"/>
      <c r="M411" s="126"/>
      <c r="N411" s="126"/>
      <c r="O411" s="126"/>
      <c r="P411" s="135"/>
      <c r="Q411" s="135"/>
    </row>
    <row r="412" spans="4:17" ht="12.75">
      <c r="D412" s="116"/>
      <c r="E412" s="116"/>
      <c r="F412" s="116"/>
      <c r="G412" s="116"/>
      <c r="H412" s="116"/>
      <c r="I412" s="116"/>
      <c r="J412" s="116"/>
      <c r="K412" s="118"/>
      <c r="L412" s="118"/>
      <c r="M412" s="126"/>
      <c r="N412" s="126"/>
      <c r="O412" s="126"/>
      <c r="P412" s="135"/>
      <c r="Q412" s="135"/>
    </row>
    <row r="413" spans="3:17" ht="12.75">
      <c r="C413" s="115"/>
      <c r="D413" s="116"/>
      <c r="E413" s="116"/>
      <c r="F413" s="116"/>
      <c r="G413" s="116"/>
      <c r="H413" s="116"/>
      <c r="I413" s="116"/>
      <c r="J413" s="116"/>
      <c r="K413" s="118"/>
      <c r="L413" s="118"/>
      <c r="M413" s="126"/>
      <c r="N413" s="126"/>
      <c r="O413" s="126"/>
      <c r="P413" s="135"/>
      <c r="Q413" s="135"/>
    </row>
    <row r="414" spans="3:17" ht="12.75">
      <c r="C414" s="115"/>
      <c r="D414" s="116"/>
      <c r="E414" s="116"/>
      <c r="F414" s="116"/>
      <c r="G414" s="116"/>
      <c r="H414" s="116"/>
      <c r="I414" s="116"/>
      <c r="J414" s="116"/>
      <c r="K414" s="118"/>
      <c r="L414" s="118"/>
      <c r="M414" s="126"/>
      <c r="N414" s="126"/>
      <c r="O414" s="126"/>
      <c r="P414" s="135"/>
      <c r="Q414" s="135"/>
    </row>
    <row r="415" spans="3:17" ht="12.75">
      <c r="C415" s="115"/>
      <c r="D415" s="116"/>
      <c r="E415" s="116"/>
      <c r="F415" s="116"/>
      <c r="G415" s="116"/>
      <c r="H415" s="116"/>
      <c r="I415" s="116"/>
      <c r="J415" s="116"/>
      <c r="K415" s="118"/>
      <c r="L415" s="118"/>
      <c r="M415" s="126"/>
      <c r="N415" s="126"/>
      <c r="O415" s="126"/>
      <c r="P415" s="135"/>
      <c r="Q415" s="135"/>
    </row>
    <row r="416" spans="3:17" ht="12.75">
      <c r="C416" s="115"/>
      <c r="D416" s="116"/>
      <c r="E416" s="116"/>
      <c r="F416" s="116"/>
      <c r="G416" s="116"/>
      <c r="H416" s="116"/>
      <c r="I416" s="116"/>
      <c r="J416" s="116"/>
      <c r="K416" s="118"/>
      <c r="L416" s="118"/>
      <c r="M416" s="126"/>
      <c r="N416" s="126"/>
      <c r="O416" s="126"/>
      <c r="P416" s="135"/>
      <c r="Q416" s="135"/>
    </row>
    <row r="417" spans="3:17" ht="12.75">
      <c r="C417" s="115"/>
      <c r="D417" s="116"/>
      <c r="E417" s="116"/>
      <c r="F417" s="116"/>
      <c r="G417" s="116"/>
      <c r="H417" s="116"/>
      <c r="I417" s="116"/>
      <c r="J417" s="116"/>
      <c r="K417" s="118"/>
      <c r="L417" s="118"/>
      <c r="M417" s="126"/>
      <c r="N417" s="126"/>
      <c r="O417" s="126"/>
      <c r="P417" s="135"/>
      <c r="Q417" s="135"/>
    </row>
    <row r="418" spans="3:17" ht="12.75">
      <c r="C418" s="115"/>
      <c r="D418" s="116"/>
      <c r="E418" s="116"/>
      <c r="F418" s="116"/>
      <c r="G418" s="116"/>
      <c r="H418" s="116"/>
      <c r="I418" s="116"/>
      <c r="J418" s="116"/>
      <c r="K418" s="118"/>
      <c r="L418" s="118"/>
      <c r="M418" s="126"/>
      <c r="N418" s="126"/>
      <c r="O418" s="126"/>
      <c r="P418" s="135"/>
      <c r="Q418" s="135"/>
    </row>
    <row r="419" spans="3:17" ht="12.75">
      <c r="C419" s="115"/>
      <c r="D419" s="116"/>
      <c r="E419" s="116"/>
      <c r="F419" s="116"/>
      <c r="G419" s="116"/>
      <c r="H419" s="116"/>
      <c r="I419" s="116"/>
      <c r="J419" s="116"/>
      <c r="K419" s="118"/>
      <c r="L419" s="118"/>
      <c r="M419" s="126"/>
      <c r="N419" s="126"/>
      <c r="O419" s="126"/>
      <c r="P419" s="135"/>
      <c r="Q419" s="135"/>
    </row>
    <row r="420" spans="3:17" ht="12.75">
      <c r="C420" s="115"/>
      <c r="D420" s="116"/>
      <c r="E420" s="116"/>
      <c r="F420" s="116"/>
      <c r="G420" s="116"/>
      <c r="H420" s="116"/>
      <c r="I420" s="116"/>
      <c r="J420" s="116"/>
      <c r="K420" s="118"/>
      <c r="L420" s="118"/>
      <c r="M420" s="126"/>
      <c r="N420" s="126"/>
      <c r="O420" s="126"/>
      <c r="P420" s="135"/>
      <c r="Q420" s="135"/>
    </row>
    <row r="421" spans="3:17" ht="12.75">
      <c r="C421" s="115"/>
      <c r="D421" s="116"/>
      <c r="E421" s="116"/>
      <c r="F421" s="116"/>
      <c r="G421" s="116"/>
      <c r="H421" s="116"/>
      <c r="I421" s="116"/>
      <c r="J421" s="116"/>
      <c r="K421" s="118"/>
      <c r="L421" s="118"/>
      <c r="M421" s="126"/>
      <c r="N421" s="126"/>
      <c r="O421" s="126"/>
      <c r="P421" s="135"/>
      <c r="Q421" s="135"/>
    </row>
    <row r="422" spans="3:17" ht="12.75">
      <c r="C422" s="115"/>
      <c r="D422" s="116"/>
      <c r="E422" s="116"/>
      <c r="F422" s="116"/>
      <c r="G422" s="116"/>
      <c r="H422" s="116"/>
      <c r="I422" s="116"/>
      <c r="J422" s="116"/>
      <c r="K422" s="118"/>
      <c r="L422" s="118"/>
      <c r="M422" s="126"/>
      <c r="N422" s="126"/>
      <c r="O422" s="126"/>
      <c r="P422" s="135"/>
      <c r="Q422" s="135"/>
    </row>
    <row r="423" spans="3:17" ht="12.75">
      <c r="C423" s="115"/>
      <c r="D423" s="116"/>
      <c r="E423" s="116"/>
      <c r="F423" s="116"/>
      <c r="G423" s="116"/>
      <c r="H423" s="116"/>
      <c r="I423" s="116"/>
      <c r="J423" s="116"/>
      <c r="K423" s="118"/>
      <c r="L423" s="118"/>
      <c r="M423" s="126"/>
      <c r="N423" s="126"/>
      <c r="O423" s="126"/>
      <c r="P423" s="135"/>
      <c r="Q423" s="135"/>
    </row>
    <row r="424" spans="3:17" ht="12.75">
      <c r="C424" s="115"/>
      <c r="D424" s="116"/>
      <c r="E424" s="116"/>
      <c r="F424" s="116"/>
      <c r="G424" s="116"/>
      <c r="H424" s="116"/>
      <c r="I424" s="116"/>
      <c r="J424" s="116"/>
      <c r="K424" s="118"/>
      <c r="L424" s="118"/>
      <c r="M424" s="126"/>
      <c r="N424" s="126"/>
      <c r="O424" s="126"/>
      <c r="P424" s="135"/>
      <c r="Q424" s="135"/>
    </row>
    <row r="425" spans="4:17" ht="12.75">
      <c r="D425" s="116"/>
      <c r="E425" s="116"/>
      <c r="F425" s="116"/>
      <c r="G425" s="116"/>
      <c r="H425" s="116"/>
      <c r="I425" s="116"/>
      <c r="J425" s="116"/>
      <c r="K425" s="118"/>
      <c r="L425" s="118"/>
      <c r="M425" s="126"/>
      <c r="N425" s="126"/>
      <c r="O425" s="126"/>
      <c r="P425" s="135"/>
      <c r="Q425" s="135"/>
    </row>
    <row r="426" spans="4:17" ht="12.75">
      <c r="D426" s="116"/>
      <c r="E426" s="116"/>
      <c r="F426" s="116"/>
      <c r="G426" s="116"/>
      <c r="H426" s="116"/>
      <c r="I426" s="116"/>
      <c r="J426" s="116"/>
      <c r="K426" s="118"/>
      <c r="L426" s="118"/>
      <c r="M426" s="126"/>
      <c r="N426" s="126"/>
      <c r="O426" s="126"/>
      <c r="P426" s="135"/>
      <c r="Q426" s="135"/>
    </row>
    <row r="427" spans="4:17" ht="12.75">
      <c r="D427" s="116"/>
      <c r="E427" s="116"/>
      <c r="F427" s="116"/>
      <c r="G427" s="116"/>
      <c r="H427" s="116"/>
      <c r="I427" s="116"/>
      <c r="J427" s="116"/>
      <c r="K427" s="118"/>
      <c r="L427" s="118"/>
      <c r="M427" s="126"/>
      <c r="N427" s="126"/>
      <c r="O427" s="126"/>
      <c r="P427" s="135"/>
      <c r="Q427" s="135"/>
    </row>
    <row r="428" spans="4:17" ht="12.75">
      <c r="D428" s="116"/>
      <c r="E428" s="116"/>
      <c r="F428" s="116"/>
      <c r="G428" s="116"/>
      <c r="H428" s="116"/>
      <c r="I428" s="116"/>
      <c r="J428" s="116"/>
      <c r="K428" s="118"/>
      <c r="L428" s="118"/>
      <c r="M428" s="126"/>
      <c r="N428" s="126"/>
      <c r="O428" s="126"/>
      <c r="P428" s="135"/>
      <c r="Q428" s="135"/>
    </row>
    <row r="429" spans="4:17" ht="12.75">
      <c r="D429" s="116"/>
      <c r="E429" s="116"/>
      <c r="F429" s="116"/>
      <c r="G429" s="116"/>
      <c r="H429" s="116"/>
      <c r="I429" s="116"/>
      <c r="J429" s="116"/>
      <c r="K429" s="118"/>
      <c r="L429" s="118"/>
      <c r="M429" s="126"/>
      <c r="N429" s="126"/>
      <c r="O429" s="126"/>
      <c r="P429" s="135"/>
      <c r="Q429" s="135"/>
    </row>
    <row r="430" spans="4:17" ht="12.75">
      <c r="D430" s="116"/>
      <c r="E430" s="116"/>
      <c r="F430" s="116"/>
      <c r="G430" s="116"/>
      <c r="H430" s="116"/>
      <c r="I430" s="116"/>
      <c r="J430" s="116"/>
      <c r="K430" s="118"/>
      <c r="L430" s="118"/>
      <c r="M430" s="126"/>
      <c r="N430" s="126"/>
      <c r="O430" s="126"/>
      <c r="P430" s="135"/>
      <c r="Q430" s="135"/>
    </row>
    <row r="431" spans="4:17" ht="12.75">
      <c r="D431" s="116"/>
      <c r="E431" s="116"/>
      <c r="F431" s="116"/>
      <c r="G431" s="116"/>
      <c r="H431" s="116"/>
      <c r="I431" s="116"/>
      <c r="J431" s="116"/>
      <c r="K431" s="118"/>
      <c r="L431" s="118"/>
      <c r="M431" s="126"/>
      <c r="N431" s="126"/>
      <c r="O431" s="126"/>
      <c r="P431" s="135"/>
      <c r="Q431" s="135"/>
    </row>
    <row r="432" spans="4:17" ht="12.75">
      <c r="D432" s="116"/>
      <c r="E432" s="116"/>
      <c r="F432" s="116"/>
      <c r="G432" s="116"/>
      <c r="H432" s="116"/>
      <c r="I432" s="116"/>
      <c r="J432" s="116"/>
      <c r="K432" s="118"/>
      <c r="L432" s="118"/>
      <c r="M432" s="126"/>
      <c r="N432" s="126"/>
      <c r="O432" s="126"/>
      <c r="P432" s="135"/>
      <c r="Q432" s="135"/>
    </row>
    <row r="433" spans="4:17" ht="12.75">
      <c r="D433" s="116"/>
      <c r="E433" s="116"/>
      <c r="F433" s="116"/>
      <c r="G433" s="116"/>
      <c r="H433" s="116"/>
      <c r="I433" s="116"/>
      <c r="J433" s="116"/>
      <c r="K433" s="118"/>
      <c r="L433" s="118"/>
      <c r="M433" s="126"/>
      <c r="N433" s="126"/>
      <c r="O433" s="126"/>
      <c r="P433" s="135"/>
      <c r="Q433" s="135"/>
    </row>
    <row r="434" spans="4:17" ht="12.75">
      <c r="D434" s="116"/>
      <c r="E434" s="116"/>
      <c r="F434" s="116"/>
      <c r="G434" s="116"/>
      <c r="H434" s="116"/>
      <c r="I434" s="116"/>
      <c r="J434" s="116"/>
      <c r="K434" s="118"/>
      <c r="L434" s="118"/>
      <c r="M434" s="126"/>
      <c r="N434" s="126"/>
      <c r="O434" s="126"/>
      <c r="P434" s="135"/>
      <c r="Q434" s="135"/>
    </row>
    <row r="435" spans="4:17" ht="12.75">
      <c r="D435" s="116"/>
      <c r="E435" s="116"/>
      <c r="F435" s="116"/>
      <c r="G435" s="116"/>
      <c r="H435" s="116"/>
      <c r="I435" s="116"/>
      <c r="J435" s="116"/>
      <c r="K435" s="118"/>
      <c r="L435" s="118"/>
      <c r="M435" s="126"/>
      <c r="N435" s="126"/>
      <c r="O435" s="126"/>
      <c r="P435" s="135"/>
      <c r="Q435" s="135"/>
    </row>
    <row r="436" spans="4:17" ht="12.75">
      <c r="D436" s="116"/>
      <c r="E436" s="116"/>
      <c r="F436" s="116"/>
      <c r="G436" s="116"/>
      <c r="H436" s="116"/>
      <c r="I436" s="116"/>
      <c r="J436" s="116"/>
      <c r="K436" s="118"/>
      <c r="L436" s="118"/>
      <c r="M436" s="126"/>
      <c r="N436" s="126"/>
      <c r="O436" s="126"/>
      <c r="P436" s="135"/>
      <c r="Q436" s="135"/>
    </row>
    <row r="437" spans="4:17" ht="12.75">
      <c r="D437" s="116"/>
      <c r="E437" s="116"/>
      <c r="F437" s="116"/>
      <c r="G437" s="116"/>
      <c r="H437" s="116"/>
      <c r="I437" s="116"/>
      <c r="J437" s="116"/>
      <c r="K437" s="118"/>
      <c r="L437" s="118"/>
      <c r="M437" s="126"/>
      <c r="N437" s="126"/>
      <c r="O437" s="126"/>
      <c r="P437" s="135"/>
      <c r="Q437" s="135"/>
    </row>
    <row r="438" spans="4:17" ht="12.75">
      <c r="D438" s="116"/>
      <c r="E438" s="116"/>
      <c r="F438" s="116"/>
      <c r="G438" s="116"/>
      <c r="H438" s="116"/>
      <c r="I438" s="116"/>
      <c r="J438" s="116"/>
      <c r="K438" s="118"/>
      <c r="L438" s="118"/>
      <c r="M438" s="126"/>
      <c r="N438" s="126"/>
      <c r="O438" s="126"/>
      <c r="P438" s="135"/>
      <c r="Q438" s="135"/>
    </row>
    <row r="439" spans="4:17" ht="12.75">
      <c r="D439" s="116"/>
      <c r="E439" s="116"/>
      <c r="F439" s="116"/>
      <c r="G439" s="116"/>
      <c r="H439" s="116"/>
      <c r="I439" s="116"/>
      <c r="J439" s="116"/>
      <c r="K439" s="118"/>
      <c r="L439" s="118"/>
      <c r="M439" s="126"/>
      <c r="N439" s="126"/>
      <c r="O439" s="126"/>
      <c r="P439" s="135"/>
      <c r="Q439" s="135"/>
    </row>
    <row r="440" spans="4:17" ht="12.75">
      <c r="D440" s="116"/>
      <c r="E440" s="116"/>
      <c r="F440" s="116"/>
      <c r="G440" s="116"/>
      <c r="H440" s="116"/>
      <c r="I440" s="116"/>
      <c r="J440" s="116"/>
      <c r="K440" s="118"/>
      <c r="L440" s="118"/>
      <c r="M440" s="126"/>
      <c r="N440" s="126"/>
      <c r="O440" s="126"/>
      <c r="P440" s="135"/>
      <c r="Q440" s="135"/>
    </row>
    <row r="441" spans="4:17" ht="12.75">
      <c r="D441" s="116"/>
      <c r="E441" s="116"/>
      <c r="F441" s="116"/>
      <c r="G441" s="116"/>
      <c r="H441" s="116"/>
      <c r="I441" s="116"/>
      <c r="J441" s="116"/>
      <c r="K441" s="118"/>
      <c r="L441" s="118"/>
      <c r="M441" s="126"/>
      <c r="N441" s="126"/>
      <c r="O441" s="126"/>
      <c r="P441" s="135"/>
      <c r="Q441" s="135"/>
    </row>
    <row r="442" spans="4:17" ht="12.75">
      <c r="D442" s="116"/>
      <c r="E442" s="116"/>
      <c r="F442" s="116"/>
      <c r="G442" s="116"/>
      <c r="H442" s="116"/>
      <c r="I442" s="116"/>
      <c r="J442" s="116"/>
      <c r="K442" s="118"/>
      <c r="L442" s="118"/>
      <c r="M442" s="126"/>
      <c r="N442" s="126"/>
      <c r="O442" s="126"/>
      <c r="P442" s="135"/>
      <c r="Q442" s="135"/>
    </row>
    <row r="443" spans="3:17" ht="12.75">
      <c r="C443" s="115"/>
      <c r="D443" s="116"/>
      <c r="E443" s="116"/>
      <c r="F443" s="116"/>
      <c r="G443" s="116"/>
      <c r="H443" s="116"/>
      <c r="I443" s="116"/>
      <c r="J443" s="116"/>
      <c r="K443" s="118"/>
      <c r="L443" s="118"/>
      <c r="M443" s="126"/>
      <c r="N443" s="126"/>
      <c r="O443" s="126"/>
      <c r="P443" s="135"/>
      <c r="Q443" s="135"/>
    </row>
    <row r="444" spans="3:17" ht="12.75">
      <c r="C444" s="115"/>
      <c r="D444" s="116"/>
      <c r="E444" s="116"/>
      <c r="F444" s="116"/>
      <c r="G444" s="116"/>
      <c r="H444" s="116"/>
      <c r="I444" s="116"/>
      <c r="J444" s="116"/>
      <c r="K444" s="118"/>
      <c r="L444" s="118"/>
      <c r="M444" s="126"/>
      <c r="N444" s="126"/>
      <c r="O444" s="126"/>
      <c r="P444" s="135"/>
      <c r="Q444" s="135"/>
    </row>
    <row r="445" spans="3:17" ht="12.75">
      <c r="C445" s="115"/>
      <c r="D445" s="116"/>
      <c r="E445" s="116"/>
      <c r="F445" s="116"/>
      <c r="G445" s="116"/>
      <c r="H445" s="116"/>
      <c r="I445" s="116"/>
      <c r="J445" s="116"/>
      <c r="K445" s="118"/>
      <c r="L445" s="118"/>
      <c r="M445" s="126"/>
      <c r="N445" s="126"/>
      <c r="O445" s="126"/>
      <c r="P445" s="135"/>
      <c r="Q445" s="135"/>
    </row>
    <row r="446" spans="3:17" ht="12.75">
      <c r="C446" s="115"/>
      <c r="D446" s="116"/>
      <c r="E446" s="116"/>
      <c r="F446" s="116"/>
      <c r="G446" s="116"/>
      <c r="H446" s="116"/>
      <c r="I446" s="116"/>
      <c r="J446" s="116"/>
      <c r="K446" s="118"/>
      <c r="L446" s="118"/>
      <c r="M446" s="126"/>
      <c r="N446" s="126"/>
      <c r="O446" s="126"/>
      <c r="P446" s="135"/>
      <c r="Q446" s="135"/>
    </row>
    <row r="447" spans="3:17" ht="12.75">
      <c r="C447" s="115"/>
      <c r="D447" s="116"/>
      <c r="E447" s="116"/>
      <c r="F447" s="116"/>
      <c r="G447" s="116"/>
      <c r="H447" s="116"/>
      <c r="I447" s="116"/>
      <c r="J447" s="116"/>
      <c r="K447" s="118"/>
      <c r="L447" s="118"/>
      <c r="M447" s="126"/>
      <c r="N447" s="126"/>
      <c r="O447" s="126"/>
      <c r="P447" s="135"/>
      <c r="Q447" s="135"/>
    </row>
    <row r="448" spans="3:17" ht="12.75">
      <c r="C448" s="115"/>
      <c r="D448" s="116"/>
      <c r="E448" s="116"/>
      <c r="F448" s="116"/>
      <c r="G448" s="116"/>
      <c r="H448" s="116"/>
      <c r="I448" s="116"/>
      <c r="J448" s="116"/>
      <c r="K448" s="118"/>
      <c r="L448" s="118"/>
      <c r="M448" s="126"/>
      <c r="N448" s="126"/>
      <c r="O448" s="126"/>
      <c r="P448" s="135"/>
      <c r="Q448" s="135"/>
    </row>
    <row r="449" spans="3:17" ht="12.75">
      <c r="C449" s="115"/>
      <c r="D449" s="116"/>
      <c r="E449" s="116"/>
      <c r="F449" s="116"/>
      <c r="G449" s="116"/>
      <c r="H449" s="116"/>
      <c r="I449" s="116"/>
      <c r="J449" s="116"/>
      <c r="K449" s="118"/>
      <c r="L449" s="118"/>
      <c r="M449" s="126"/>
      <c r="N449" s="126"/>
      <c r="O449" s="126"/>
      <c r="P449" s="135"/>
      <c r="Q449" s="135"/>
    </row>
    <row r="450" spans="3:17" ht="12.75">
      <c r="C450" s="115"/>
      <c r="D450" s="116"/>
      <c r="E450" s="116"/>
      <c r="F450" s="116"/>
      <c r="G450" s="116"/>
      <c r="H450" s="116"/>
      <c r="I450" s="116"/>
      <c r="J450" s="116"/>
      <c r="K450" s="118"/>
      <c r="L450" s="118"/>
      <c r="M450" s="126"/>
      <c r="N450" s="126"/>
      <c r="O450" s="126"/>
      <c r="P450" s="135"/>
      <c r="Q450" s="135"/>
    </row>
    <row r="451" spans="3:17" ht="12.75">
      <c r="C451" s="115"/>
      <c r="D451" s="116"/>
      <c r="E451" s="116"/>
      <c r="F451" s="116"/>
      <c r="G451" s="116"/>
      <c r="H451" s="116"/>
      <c r="I451" s="116"/>
      <c r="J451" s="116"/>
      <c r="K451" s="118"/>
      <c r="L451" s="118"/>
      <c r="M451" s="126"/>
      <c r="N451" s="126"/>
      <c r="O451" s="126"/>
      <c r="P451" s="135"/>
      <c r="Q451" s="135"/>
    </row>
    <row r="452" spans="3:17" ht="12.75">
      <c r="C452" s="115"/>
      <c r="D452" s="116"/>
      <c r="E452" s="116"/>
      <c r="F452" s="116"/>
      <c r="G452" s="116"/>
      <c r="H452" s="116"/>
      <c r="I452" s="116"/>
      <c r="J452" s="116"/>
      <c r="K452" s="118"/>
      <c r="L452" s="118"/>
      <c r="M452" s="126"/>
      <c r="N452" s="126"/>
      <c r="O452" s="126"/>
      <c r="P452" s="135"/>
      <c r="Q452" s="135"/>
    </row>
    <row r="453" spans="3:17" ht="12.75">
      <c r="C453" s="115"/>
      <c r="D453" s="116"/>
      <c r="E453" s="116"/>
      <c r="F453" s="116"/>
      <c r="G453" s="116"/>
      <c r="H453" s="116"/>
      <c r="I453" s="116"/>
      <c r="J453" s="116"/>
      <c r="K453" s="118"/>
      <c r="L453" s="118"/>
      <c r="M453" s="126"/>
      <c r="N453" s="126"/>
      <c r="O453" s="126"/>
      <c r="P453" s="135"/>
      <c r="Q453" s="135"/>
    </row>
    <row r="454" spans="3:17" ht="12.75">
      <c r="C454" s="115"/>
      <c r="D454" s="116"/>
      <c r="E454" s="116"/>
      <c r="F454" s="116"/>
      <c r="G454" s="116"/>
      <c r="H454" s="116"/>
      <c r="I454" s="116"/>
      <c r="J454" s="116"/>
      <c r="K454" s="118"/>
      <c r="L454" s="118"/>
      <c r="M454" s="126"/>
      <c r="N454" s="126"/>
      <c r="O454" s="126"/>
      <c r="P454" s="135"/>
      <c r="Q454" s="135"/>
    </row>
    <row r="455" spans="4:17" ht="12.75">
      <c r="D455" s="116"/>
      <c r="E455" s="116"/>
      <c r="F455" s="116"/>
      <c r="G455" s="116"/>
      <c r="H455" s="116"/>
      <c r="I455" s="116"/>
      <c r="J455" s="116"/>
      <c r="K455" s="118"/>
      <c r="L455" s="118"/>
      <c r="M455" s="126"/>
      <c r="N455" s="126"/>
      <c r="O455" s="126"/>
      <c r="P455" s="135"/>
      <c r="Q455" s="135"/>
    </row>
    <row r="456" spans="4:17" ht="12.75">
      <c r="D456" s="116"/>
      <c r="E456" s="116"/>
      <c r="F456" s="116"/>
      <c r="G456" s="116"/>
      <c r="H456" s="116"/>
      <c r="I456" s="116"/>
      <c r="J456" s="116"/>
      <c r="K456" s="118"/>
      <c r="L456" s="118"/>
      <c r="M456" s="126"/>
      <c r="N456" s="126"/>
      <c r="O456" s="126"/>
      <c r="P456" s="135"/>
      <c r="Q456" s="135"/>
    </row>
    <row r="457" spans="4:17" ht="12.75">
      <c r="D457" s="116"/>
      <c r="E457" s="116"/>
      <c r="F457" s="116"/>
      <c r="G457" s="116"/>
      <c r="H457" s="116"/>
      <c r="I457" s="116"/>
      <c r="J457" s="116"/>
      <c r="K457" s="118"/>
      <c r="L457" s="118"/>
      <c r="M457" s="126"/>
      <c r="N457" s="126"/>
      <c r="O457" s="126"/>
      <c r="P457" s="135"/>
      <c r="Q457" s="135"/>
    </row>
    <row r="458" spans="4:17" ht="12.75">
      <c r="D458" s="116"/>
      <c r="E458" s="116"/>
      <c r="F458" s="116"/>
      <c r="G458" s="116"/>
      <c r="H458" s="116"/>
      <c r="I458" s="116"/>
      <c r="J458" s="116"/>
      <c r="K458" s="118"/>
      <c r="L458" s="118"/>
      <c r="M458" s="126"/>
      <c r="N458" s="126"/>
      <c r="O458" s="126"/>
      <c r="P458" s="135"/>
      <c r="Q458" s="135"/>
    </row>
    <row r="459" spans="4:17" ht="12.75">
      <c r="D459" s="116"/>
      <c r="E459" s="116"/>
      <c r="F459" s="116"/>
      <c r="G459" s="116"/>
      <c r="H459" s="116"/>
      <c r="I459" s="116"/>
      <c r="J459" s="116"/>
      <c r="K459" s="118"/>
      <c r="L459" s="118"/>
      <c r="M459" s="126"/>
      <c r="N459" s="126"/>
      <c r="O459" s="126"/>
      <c r="P459" s="135"/>
      <c r="Q459" s="135"/>
    </row>
    <row r="460" spans="4:17" ht="12.75">
      <c r="D460" s="116"/>
      <c r="E460" s="116"/>
      <c r="F460" s="116"/>
      <c r="G460" s="116"/>
      <c r="H460" s="116"/>
      <c r="I460" s="116"/>
      <c r="J460" s="116"/>
      <c r="K460" s="118"/>
      <c r="L460" s="118"/>
      <c r="M460" s="126"/>
      <c r="N460" s="126"/>
      <c r="O460" s="126"/>
      <c r="P460" s="135"/>
      <c r="Q460" s="135"/>
    </row>
    <row r="461" spans="4:17" ht="12.75">
      <c r="D461" s="116"/>
      <c r="E461" s="116"/>
      <c r="F461" s="116"/>
      <c r="G461" s="116"/>
      <c r="H461" s="116"/>
      <c r="I461" s="116"/>
      <c r="J461" s="116"/>
      <c r="K461" s="118"/>
      <c r="L461" s="118"/>
      <c r="M461" s="126"/>
      <c r="N461" s="126"/>
      <c r="O461" s="126"/>
      <c r="P461" s="135"/>
      <c r="Q461" s="135"/>
    </row>
    <row r="462" spans="4:17" ht="12.75">
      <c r="D462" s="116"/>
      <c r="E462" s="116"/>
      <c r="F462" s="116"/>
      <c r="G462" s="116"/>
      <c r="H462" s="116"/>
      <c r="I462" s="116"/>
      <c r="J462" s="116"/>
      <c r="K462" s="118"/>
      <c r="L462" s="118"/>
      <c r="M462" s="126"/>
      <c r="N462" s="126"/>
      <c r="O462" s="126"/>
      <c r="P462" s="135"/>
      <c r="Q462" s="135"/>
    </row>
    <row r="463" spans="4:17" ht="12.75">
      <c r="D463" s="116"/>
      <c r="E463" s="116"/>
      <c r="F463" s="116"/>
      <c r="G463" s="116"/>
      <c r="H463" s="116"/>
      <c r="I463" s="116"/>
      <c r="J463" s="116"/>
      <c r="K463" s="118"/>
      <c r="L463" s="118"/>
      <c r="M463" s="126"/>
      <c r="N463" s="126"/>
      <c r="O463" s="126"/>
      <c r="P463" s="135"/>
      <c r="Q463" s="135"/>
    </row>
    <row r="464" spans="4:17" ht="12.75">
      <c r="D464" s="116"/>
      <c r="E464" s="116"/>
      <c r="F464" s="116"/>
      <c r="G464" s="116"/>
      <c r="H464" s="116"/>
      <c r="I464" s="116"/>
      <c r="J464" s="116"/>
      <c r="K464" s="118"/>
      <c r="L464" s="118"/>
      <c r="M464" s="126"/>
      <c r="N464" s="126"/>
      <c r="O464" s="126"/>
      <c r="P464" s="135"/>
      <c r="Q464" s="135"/>
    </row>
    <row r="465" spans="4:17" ht="12.75">
      <c r="D465" s="116"/>
      <c r="E465" s="116"/>
      <c r="F465" s="116"/>
      <c r="G465" s="116"/>
      <c r="H465" s="116"/>
      <c r="I465" s="116"/>
      <c r="J465" s="116"/>
      <c r="K465" s="118"/>
      <c r="L465" s="118"/>
      <c r="M465" s="126"/>
      <c r="N465" s="126"/>
      <c r="O465" s="126"/>
      <c r="P465" s="135"/>
      <c r="Q465" s="135"/>
    </row>
    <row r="466" spans="4:17" ht="12.75">
      <c r="D466" s="116"/>
      <c r="E466" s="116"/>
      <c r="F466" s="116"/>
      <c r="G466" s="116"/>
      <c r="H466" s="116"/>
      <c r="I466" s="116"/>
      <c r="J466" s="116"/>
      <c r="K466" s="118"/>
      <c r="L466" s="118"/>
      <c r="M466" s="126"/>
      <c r="N466" s="126"/>
      <c r="O466" s="126"/>
      <c r="P466" s="135"/>
      <c r="Q466" s="135"/>
    </row>
    <row r="467" spans="4:17" ht="12.75">
      <c r="D467" s="116"/>
      <c r="E467" s="116"/>
      <c r="F467" s="116"/>
      <c r="G467" s="116"/>
      <c r="H467" s="116"/>
      <c r="I467" s="116"/>
      <c r="J467" s="116"/>
      <c r="K467" s="118"/>
      <c r="L467" s="118"/>
      <c r="M467" s="126"/>
      <c r="N467" s="126"/>
      <c r="O467" s="126"/>
      <c r="P467" s="135"/>
      <c r="Q467" s="135"/>
    </row>
    <row r="468" spans="4:17" ht="12.75">
      <c r="D468" s="116"/>
      <c r="E468" s="116"/>
      <c r="F468" s="116"/>
      <c r="G468" s="116"/>
      <c r="H468" s="116"/>
      <c r="I468" s="116"/>
      <c r="J468" s="116"/>
      <c r="K468" s="118"/>
      <c r="L468" s="118"/>
      <c r="M468" s="126"/>
      <c r="N468" s="126"/>
      <c r="O468" s="126"/>
      <c r="P468" s="135"/>
      <c r="Q468" s="135"/>
    </row>
    <row r="469" spans="4:17" ht="12.75">
      <c r="D469" s="116"/>
      <c r="E469" s="116"/>
      <c r="F469" s="116"/>
      <c r="G469" s="116"/>
      <c r="H469" s="116"/>
      <c r="I469" s="116"/>
      <c r="J469" s="116"/>
      <c r="K469" s="118"/>
      <c r="L469" s="118"/>
      <c r="M469" s="126"/>
      <c r="N469" s="126"/>
      <c r="O469" s="126"/>
      <c r="P469" s="135"/>
      <c r="Q469" s="135"/>
    </row>
    <row r="470" spans="4:17" ht="12.75">
      <c r="D470" s="116"/>
      <c r="E470" s="116"/>
      <c r="F470" s="116"/>
      <c r="G470" s="116"/>
      <c r="H470" s="116"/>
      <c r="I470" s="116"/>
      <c r="J470" s="116"/>
      <c r="K470" s="118"/>
      <c r="L470" s="118"/>
      <c r="M470" s="126"/>
      <c r="N470" s="126"/>
      <c r="O470" s="126"/>
      <c r="P470" s="135"/>
      <c r="Q470" s="135"/>
    </row>
    <row r="471" spans="4:17" ht="12.75">
      <c r="D471" s="116"/>
      <c r="E471" s="116"/>
      <c r="F471" s="116"/>
      <c r="G471" s="116"/>
      <c r="H471" s="116"/>
      <c r="I471" s="116"/>
      <c r="J471" s="116"/>
      <c r="K471" s="118"/>
      <c r="L471" s="118"/>
      <c r="M471" s="126"/>
      <c r="N471" s="126"/>
      <c r="O471" s="126"/>
      <c r="P471" s="135"/>
      <c r="Q471" s="135"/>
    </row>
    <row r="472" spans="4:17" ht="12.75">
      <c r="D472" s="116"/>
      <c r="E472" s="116"/>
      <c r="F472" s="116"/>
      <c r="G472" s="116"/>
      <c r="H472" s="116"/>
      <c r="I472" s="116"/>
      <c r="J472" s="116"/>
      <c r="K472" s="118"/>
      <c r="L472" s="118"/>
      <c r="M472" s="126"/>
      <c r="N472" s="126"/>
      <c r="O472" s="126"/>
      <c r="P472" s="135"/>
      <c r="Q472" s="135"/>
    </row>
    <row r="473" spans="4:17" ht="12.75">
      <c r="D473" s="116"/>
      <c r="E473" s="116"/>
      <c r="F473" s="116"/>
      <c r="G473" s="116"/>
      <c r="H473" s="116"/>
      <c r="I473" s="116"/>
      <c r="J473" s="116"/>
      <c r="K473" s="118"/>
      <c r="L473" s="118"/>
      <c r="M473" s="126"/>
      <c r="N473" s="126"/>
      <c r="O473" s="126"/>
      <c r="P473" s="135"/>
      <c r="Q473" s="135"/>
    </row>
    <row r="474" spans="3:17" ht="12.75">
      <c r="C474" s="115"/>
      <c r="D474" s="116"/>
      <c r="E474" s="116"/>
      <c r="F474" s="116"/>
      <c r="G474" s="116"/>
      <c r="H474" s="116"/>
      <c r="I474" s="116"/>
      <c r="J474" s="116"/>
      <c r="K474" s="118"/>
      <c r="L474" s="118"/>
      <c r="M474" s="126"/>
      <c r="N474" s="126"/>
      <c r="O474" s="126"/>
      <c r="P474" s="135"/>
      <c r="Q474" s="135"/>
    </row>
    <row r="475" spans="11:17" ht="12.75">
      <c r="K475" s="118"/>
      <c r="L475" s="118"/>
      <c r="M475" s="126"/>
      <c r="N475" s="126"/>
      <c r="O475" s="126"/>
      <c r="P475" s="135"/>
      <c r="Q475" s="135"/>
    </row>
    <row r="476" spans="11:17" ht="12.75">
      <c r="K476" s="118"/>
      <c r="L476" s="118"/>
      <c r="M476" s="126"/>
      <c r="N476" s="126"/>
      <c r="O476" s="126"/>
      <c r="P476" s="135"/>
      <c r="Q476" s="135"/>
    </row>
    <row r="477" spans="11:17" ht="12.75">
      <c r="K477" s="118"/>
      <c r="L477" s="118"/>
      <c r="M477" s="126"/>
      <c r="N477" s="126"/>
      <c r="O477" s="126"/>
      <c r="P477" s="135"/>
      <c r="Q477" s="135"/>
    </row>
    <row r="478" spans="11:17" ht="12.75">
      <c r="K478" s="118"/>
      <c r="L478" s="118"/>
      <c r="M478" s="126"/>
      <c r="N478" s="126"/>
      <c r="O478" s="126"/>
      <c r="P478" s="135"/>
      <c r="Q478" s="135"/>
    </row>
    <row r="479" spans="11:17" ht="12.75">
      <c r="K479" s="118"/>
      <c r="L479" s="118"/>
      <c r="M479" s="126"/>
      <c r="N479" s="126"/>
      <c r="O479" s="126"/>
      <c r="P479" s="135"/>
      <c r="Q479" s="135"/>
    </row>
    <row r="480" spans="11:17" ht="12.75">
      <c r="K480" s="118"/>
      <c r="L480" s="118"/>
      <c r="M480" s="126"/>
      <c r="N480" s="126"/>
      <c r="O480" s="126"/>
      <c r="P480" s="135"/>
      <c r="Q480" s="135"/>
    </row>
    <row r="481" spans="11:17" ht="12.75">
      <c r="K481" s="118"/>
      <c r="L481" s="118"/>
      <c r="M481" s="126"/>
      <c r="N481" s="126"/>
      <c r="O481" s="126"/>
      <c r="P481" s="135"/>
      <c r="Q481" s="135"/>
    </row>
    <row r="482" spans="11:17" ht="12.75">
      <c r="K482" s="118"/>
      <c r="L482" s="118"/>
      <c r="M482" s="126"/>
      <c r="N482" s="126"/>
      <c r="O482" s="126"/>
      <c r="P482" s="135"/>
      <c r="Q482" s="135"/>
    </row>
    <row r="483" spans="11:17" ht="12.75">
      <c r="K483" s="118"/>
      <c r="L483" s="118"/>
      <c r="M483" s="126"/>
      <c r="N483" s="126"/>
      <c r="O483" s="126"/>
      <c r="P483" s="135"/>
      <c r="Q483" s="135"/>
    </row>
    <row r="484" spans="11:17" ht="12.75">
      <c r="K484" s="118"/>
      <c r="L484" s="118"/>
      <c r="M484" s="126"/>
      <c r="N484" s="126"/>
      <c r="O484" s="126"/>
      <c r="P484" s="135"/>
      <c r="Q484" s="135"/>
    </row>
    <row r="485" spans="11:17" ht="12.75">
      <c r="K485" s="118"/>
      <c r="L485" s="118"/>
      <c r="M485" s="126"/>
      <c r="N485" s="126"/>
      <c r="O485" s="126"/>
      <c r="P485" s="135"/>
      <c r="Q485" s="135"/>
    </row>
    <row r="486" spans="11:17" ht="12.75">
      <c r="K486" s="118"/>
      <c r="L486" s="118"/>
      <c r="M486" s="126"/>
      <c r="N486" s="126"/>
      <c r="O486" s="126"/>
      <c r="P486" s="135"/>
      <c r="Q486" s="135"/>
    </row>
    <row r="487" spans="11:17" ht="12.75">
      <c r="K487" s="118"/>
      <c r="L487" s="118"/>
      <c r="M487" s="126"/>
      <c r="N487" s="126"/>
      <c r="O487" s="126"/>
      <c r="P487" s="135"/>
      <c r="Q487" s="135"/>
    </row>
    <row r="488" spans="11:17" ht="12.75">
      <c r="K488" s="118"/>
      <c r="L488" s="118"/>
      <c r="M488" s="126"/>
      <c r="N488" s="126"/>
      <c r="O488" s="126"/>
      <c r="P488" s="135"/>
      <c r="Q488" s="135"/>
    </row>
    <row r="489" spans="11:17" ht="12.75">
      <c r="K489" s="118"/>
      <c r="L489" s="118"/>
      <c r="M489" s="126"/>
      <c r="N489" s="126"/>
      <c r="O489" s="126"/>
      <c r="P489" s="135"/>
      <c r="Q489" s="135"/>
    </row>
    <row r="490" spans="11:17" ht="12.75">
      <c r="K490" s="118"/>
      <c r="L490" s="118"/>
      <c r="M490" s="126"/>
      <c r="N490" s="126"/>
      <c r="O490" s="126"/>
      <c r="P490" s="135"/>
      <c r="Q490" s="135"/>
    </row>
    <row r="491" spans="11:17" ht="12.75">
      <c r="K491" s="118"/>
      <c r="L491" s="118"/>
      <c r="M491" s="126"/>
      <c r="N491" s="126"/>
      <c r="O491" s="126"/>
      <c r="P491" s="135"/>
      <c r="Q491" s="135"/>
    </row>
    <row r="492" spans="11:17" ht="12.75">
      <c r="K492" s="118"/>
      <c r="L492" s="118"/>
      <c r="M492" s="126"/>
      <c r="N492" s="126"/>
      <c r="O492" s="126"/>
      <c r="P492" s="135"/>
      <c r="Q492" s="135"/>
    </row>
    <row r="493" spans="11:17" ht="12.75">
      <c r="K493" s="118"/>
      <c r="L493" s="118"/>
      <c r="M493" s="126"/>
      <c r="N493" s="126"/>
      <c r="O493" s="126"/>
      <c r="P493" s="135"/>
      <c r="Q493" s="135"/>
    </row>
    <row r="494" spans="11:17" ht="12.75">
      <c r="K494" s="118"/>
      <c r="L494" s="118"/>
      <c r="M494" s="126"/>
      <c r="N494" s="126"/>
      <c r="O494" s="126"/>
      <c r="P494" s="135"/>
      <c r="Q494" s="135"/>
    </row>
    <row r="495" spans="11:17" ht="12.75">
      <c r="K495" s="118"/>
      <c r="L495" s="118"/>
      <c r="M495" s="126"/>
      <c r="N495" s="126"/>
      <c r="O495" s="126"/>
      <c r="P495" s="135"/>
      <c r="Q495" s="135"/>
    </row>
    <row r="496" spans="11:17" ht="12.75">
      <c r="K496" s="118"/>
      <c r="L496" s="118"/>
      <c r="M496" s="126"/>
      <c r="N496" s="126"/>
      <c r="O496" s="126"/>
      <c r="P496" s="135"/>
      <c r="Q496" s="135"/>
    </row>
    <row r="497" spans="11:17" ht="12.75">
      <c r="K497" s="118"/>
      <c r="L497" s="118"/>
      <c r="M497" s="126"/>
      <c r="N497" s="126"/>
      <c r="O497" s="126"/>
      <c r="P497" s="135"/>
      <c r="Q497" s="135"/>
    </row>
    <row r="498" spans="11:17" ht="12.75">
      <c r="K498" s="118"/>
      <c r="L498" s="118"/>
      <c r="M498" s="126"/>
      <c r="N498" s="126"/>
      <c r="O498" s="126"/>
      <c r="P498" s="135"/>
      <c r="Q498" s="135"/>
    </row>
    <row r="499" spans="11:17" ht="12.75">
      <c r="K499" s="118"/>
      <c r="L499" s="118"/>
      <c r="M499" s="126"/>
      <c r="N499" s="126"/>
      <c r="O499" s="126"/>
      <c r="P499" s="135"/>
      <c r="Q499" s="135"/>
    </row>
    <row r="500" spans="11:17" ht="12.75">
      <c r="K500" s="118"/>
      <c r="L500" s="118"/>
      <c r="M500" s="126"/>
      <c r="N500" s="126"/>
      <c r="O500" s="126"/>
      <c r="P500" s="135"/>
      <c r="Q500" s="135"/>
    </row>
    <row r="501" spans="11:17" ht="12.75">
      <c r="K501" s="118"/>
      <c r="L501" s="118"/>
      <c r="M501" s="126"/>
      <c r="N501" s="126"/>
      <c r="O501" s="126"/>
      <c r="P501" s="135"/>
      <c r="Q501" s="135"/>
    </row>
    <row r="502" spans="11:17" ht="12.75">
      <c r="K502" s="118"/>
      <c r="L502" s="118"/>
      <c r="M502" s="126"/>
      <c r="N502" s="126"/>
      <c r="O502" s="126"/>
      <c r="P502" s="135"/>
      <c r="Q502" s="135"/>
    </row>
    <row r="503" spans="11:17" ht="12.75">
      <c r="K503" s="118"/>
      <c r="L503" s="118"/>
      <c r="M503" s="126"/>
      <c r="N503" s="126"/>
      <c r="O503" s="126"/>
      <c r="P503" s="135"/>
      <c r="Q503" s="135"/>
    </row>
    <row r="504" spans="11:17" ht="12.75">
      <c r="K504" s="118"/>
      <c r="L504" s="118"/>
      <c r="M504" s="126"/>
      <c r="N504" s="126"/>
      <c r="O504" s="126"/>
      <c r="P504" s="135"/>
      <c r="Q504" s="135"/>
    </row>
    <row r="505" spans="11:17" ht="12.75">
      <c r="K505" s="118"/>
      <c r="L505" s="118"/>
      <c r="M505" s="126"/>
      <c r="N505" s="126"/>
      <c r="O505" s="126"/>
      <c r="P505" s="135"/>
      <c r="Q505" s="135"/>
    </row>
    <row r="506" spans="11:17" ht="12.75">
      <c r="K506" s="118"/>
      <c r="L506" s="118"/>
      <c r="M506" s="126"/>
      <c r="N506" s="126"/>
      <c r="O506" s="126"/>
      <c r="P506" s="135"/>
      <c r="Q506" s="135"/>
    </row>
    <row r="507" spans="11:17" ht="12.75">
      <c r="K507" s="118"/>
      <c r="L507" s="118"/>
      <c r="M507" s="126"/>
      <c r="N507" s="126"/>
      <c r="O507" s="126"/>
      <c r="P507" s="135"/>
      <c r="Q507" s="135"/>
    </row>
    <row r="508" spans="11:17" ht="12.75">
      <c r="K508" s="118"/>
      <c r="L508" s="118"/>
      <c r="M508" s="126"/>
      <c r="N508" s="126"/>
      <c r="O508" s="126"/>
      <c r="P508" s="135"/>
      <c r="Q508" s="135"/>
    </row>
    <row r="509" spans="11:17" ht="12.75">
      <c r="K509" s="118"/>
      <c r="L509" s="118"/>
      <c r="M509" s="126"/>
      <c r="N509" s="126"/>
      <c r="O509" s="126"/>
      <c r="P509" s="135"/>
      <c r="Q509" s="135"/>
    </row>
    <row r="510" spans="11:17" ht="12.75">
      <c r="K510" s="118"/>
      <c r="L510" s="118"/>
      <c r="M510" s="126"/>
      <c r="N510" s="126"/>
      <c r="O510" s="126"/>
      <c r="P510" s="135"/>
      <c r="Q510" s="135"/>
    </row>
    <row r="511" spans="11:17" ht="12.75">
      <c r="K511" s="118"/>
      <c r="L511" s="118"/>
      <c r="M511" s="126"/>
      <c r="N511" s="126"/>
      <c r="O511" s="126"/>
      <c r="P511" s="135"/>
      <c r="Q511" s="135"/>
    </row>
    <row r="512" spans="11:17" ht="12.75">
      <c r="K512" s="118"/>
      <c r="L512" s="118"/>
      <c r="M512" s="126"/>
      <c r="N512" s="126"/>
      <c r="O512" s="126"/>
      <c r="P512" s="135"/>
      <c r="Q512" s="135"/>
    </row>
    <row r="513" spans="11:17" ht="12.75">
      <c r="K513" s="118"/>
      <c r="L513" s="118"/>
      <c r="M513" s="126"/>
      <c r="N513" s="126"/>
      <c r="O513" s="126"/>
      <c r="P513" s="135"/>
      <c r="Q513" s="135"/>
    </row>
    <row r="514" spans="11:17" ht="12.75">
      <c r="K514" s="118"/>
      <c r="L514" s="118"/>
      <c r="M514" s="126"/>
      <c r="N514" s="126"/>
      <c r="O514" s="126"/>
      <c r="P514" s="135"/>
      <c r="Q514" s="135"/>
    </row>
    <row r="515" spans="11:17" ht="12.75">
      <c r="K515" s="118"/>
      <c r="L515" s="118"/>
      <c r="M515" s="126"/>
      <c r="N515" s="126"/>
      <c r="O515" s="126"/>
      <c r="P515" s="135"/>
      <c r="Q515" s="135"/>
    </row>
    <row r="516" spans="11:17" ht="12.75">
      <c r="K516" s="118"/>
      <c r="L516" s="118"/>
      <c r="M516" s="126"/>
      <c r="N516" s="126"/>
      <c r="O516" s="126"/>
      <c r="P516" s="135"/>
      <c r="Q516" s="135"/>
    </row>
    <row r="517" spans="11:17" ht="12.75">
      <c r="K517" s="118"/>
      <c r="L517" s="118"/>
      <c r="M517" s="126"/>
      <c r="N517" s="126"/>
      <c r="O517" s="126"/>
      <c r="P517" s="135"/>
      <c r="Q517" s="135"/>
    </row>
    <row r="518" spans="11:17" ht="12.75">
      <c r="K518" s="118"/>
      <c r="L518" s="118"/>
      <c r="M518" s="126"/>
      <c r="N518" s="126"/>
      <c r="O518" s="126"/>
      <c r="P518" s="135"/>
      <c r="Q518" s="135"/>
    </row>
    <row r="519" spans="11:17" ht="12.75">
      <c r="K519" s="118"/>
      <c r="L519" s="118"/>
      <c r="M519" s="126"/>
      <c r="N519" s="126"/>
      <c r="O519" s="126"/>
      <c r="P519" s="135"/>
      <c r="Q519" s="135"/>
    </row>
    <row r="520" spans="11:17" ht="12.75">
      <c r="K520" s="118"/>
      <c r="L520" s="118"/>
      <c r="M520" s="126"/>
      <c r="N520" s="126"/>
      <c r="O520" s="126"/>
      <c r="P520" s="135"/>
      <c r="Q520" s="135"/>
    </row>
    <row r="521" spans="11:17" ht="12.75">
      <c r="K521" s="118"/>
      <c r="L521" s="118"/>
      <c r="M521" s="126"/>
      <c r="N521" s="126"/>
      <c r="O521" s="126"/>
      <c r="P521" s="135"/>
      <c r="Q521" s="135"/>
    </row>
    <row r="522" spans="11:17" ht="12.75">
      <c r="K522" s="118"/>
      <c r="L522" s="118"/>
      <c r="M522" s="126"/>
      <c r="N522" s="126"/>
      <c r="O522" s="126"/>
      <c r="P522" s="135"/>
      <c r="Q522" s="135"/>
    </row>
    <row r="523" spans="11:17" ht="12.75">
      <c r="K523" s="118"/>
      <c r="L523" s="118"/>
      <c r="M523" s="126"/>
      <c r="N523" s="126"/>
      <c r="O523" s="126"/>
      <c r="P523" s="135"/>
      <c r="Q523" s="135"/>
    </row>
    <row r="524" spans="11:17" ht="12.75">
      <c r="K524" s="118"/>
      <c r="L524" s="118"/>
      <c r="M524" s="126"/>
      <c r="N524" s="126"/>
      <c r="O524" s="126"/>
      <c r="P524" s="135"/>
      <c r="Q524" s="135"/>
    </row>
    <row r="525" spans="11:17" ht="12.75">
      <c r="K525" s="118"/>
      <c r="L525" s="118"/>
      <c r="M525" s="126"/>
      <c r="N525" s="126"/>
      <c r="O525" s="126"/>
      <c r="P525" s="135"/>
      <c r="Q525" s="135"/>
    </row>
    <row r="526" spans="11:17" ht="12.75">
      <c r="K526" s="118"/>
      <c r="L526" s="118"/>
      <c r="M526" s="126"/>
      <c r="N526" s="126"/>
      <c r="O526" s="126"/>
      <c r="P526" s="135"/>
      <c r="Q526" s="135"/>
    </row>
    <row r="527" spans="11:17" ht="12.75">
      <c r="K527" s="118"/>
      <c r="L527" s="118"/>
      <c r="M527" s="126"/>
      <c r="N527" s="126"/>
      <c r="O527" s="126"/>
      <c r="P527" s="135"/>
      <c r="Q527" s="135"/>
    </row>
    <row r="528" spans="11:17" ht="12.75">
      <c r="K528" s="118"/>
      <c r="L528" s="118"/>
      <c r="M528" s="126"/>
      <c r="N528" s="126"/>
      <c r="O528" s="126"/>
      <c r="P528" s="135"/>
      <c r="Q528" s="135"/>
    </row>
    <row r="529" spans="11:17" ht="12.75">
      <c r="K529" s="118"/>
      <c r="L529" s="118"/>
      <c r="M529" s="126"/>
      <c r="N529" s="126"/>
      <c r="O529" s="126"/>
      <c r="P529" s="135"/>
      <c r="Q529" s="135"/>
    </row>
    <row r="530" spans="11:17" ht="12.75">
      <c r="K530" s="118"/>
      <c r="L530" s="118"/>
      <c r="M530" s="126"/>
      <c r="N530" s="126"/>
      <c r="O530" s="126"/>
      <c r="P530" s="135"/>
      <c r="Q530" s="135"/>
    </row>
    <row r="531" spans="11:17" ht="12.75">
      <c r="K531" s="118"/>
      <c r="L531" s="118"/>
      <c r="M531" s="126"/>
      <c r="N531" s="126"/>
      <c r="O531" s="126"/>
      <c r="P531" s="135"/>
      <c r="Q531" s="135"/>
    </row>
    <row r="532" spans="11:17" ht="12.75">
      <c r="K532" s="118"/>
      <c r="L532" s="118"/>
      <c r="M532" s="126"/>
      <c r="N532" s="126"/>
      <c r="O532" s="126"/>
      <c r="P532" s="135"/>
      <c r="Q532" s="135"/>
    </row>
    <row r="533" spans="11:17" ht="12.75">
      <c r="K533" s="118"/>
      <c r="L533" s="118"/>
      <c r="M533" s="126"/>
      <c r="N533" s="126"/>
      <c r="O533" s="126"/>
      <c r="P533" s="135"/>
      <c r="Q533" s="135"/>
    </row>
    <row r="534" spans="11:17" ht="12.75">
      <c r="K534" s="118"/>
      <c r="L534" s="118"/>
      <c r="M534" s="126"/>
      <c r="N534" s="126"/>
      <c r="O534" s="126"/>
      <c r="P534" s="135"/>
      <c r="Q534" s="135"/>
    </row>
    <row r="535" spans="11:17" ht="12.75">
      <c r="K535" s="118"/>
      <c r="L535" s="118"/>
      <c r="M535" s="126"/>
      <c r="N535" s="126"/>
      <c r="O535" s="126"/>
      <c r="P535" s="135"/>
      <c r="Q535" s="135"/>
    </row>
    <row r="536" spans="11:17" ht="12.75">
      <c r="K536" s="118"/>
      <c r="L536" s="118"/>
      <c r="M536" s="126"/>
      <c r="N536" s="126"/>
      <c r="O536" s="126"/>
      <c r="P536" s="135"/>
      <c r="Q536" s="135"/>
    </row>
    <row r="537" spans="11:17" ht="12.75">
      <c r="K537" s="118"/>
      <c r="L537" s="118"/>
      <c r="M537" s="126"/>
      <c r="N537" s="126"/>
      <c r="O537" s="126"/>
      <c r="P537" s="135"/>
      <c r="Q537" s="135"/>
    </row>
    <row r="538" spans="11:17" ht="12.75">
      <c r="K538" s="118"/>
      <c r="L538" s="118"/>
      <c r="M538" s="126"/>
      <c r="N538" s="126"/>
      <c r="O538" s="126"/>
      <c r="P538" s="135"/>
      <c r="Q538" s="135"/>
    </row>
    <row r="539" spans="11:17" ht="12.75">
      <c r="K539" s="118"/>
      <c r="L539" s="118"/>
      <c r="M539" s="126"/>
      <c r="N539" s="126"/>
      <c r="O539" s="126"/>
      <c r="P539" s="135"/>
      <c r="Q539" s="135"/>
    </row>
    <row r="540" spans="11:17" ht="12.75">
      <c r="K540" s="118"/>
      <c r="L540" s="118"/>
      <c r="M540" s="126"/>
      <c r="N540" s="126"/>
      <c r="O540" s="126"/>
      <c r="P540" s="135"/>
      <c r="Q540" s="135"/>
    </row>
    <row r="541" spans="11:17" ht="12.75">
      <c r="K541" s="118"/>
      <c r="L541" s="118"/>
      <c r="M541" s="126"/>
      <c r="N541" s="126"/>
      <c r="O541" s="126"/>
      <c r="P541" s="135"/>
      <c r="Q541" s="135"/>
    </row>
    <row r="542" spans="11:17" ht="12.75">
      <c r="K542" s="118"/>
      <c r="L542" s="118"/>
      <c r="M542" s="126"/>
      <c r="N542" s="126"/>
      <c r="O542" s="126"/>
      <c r="P542" s="135"/>
      <c r="Q542" s="135"/>
    </row>
    <row r="543" spans="11:17" ht="12.75">
      <c r="K543" s="118"/>
      <c r="L543" s="118"/>
      <c r="M543" s="126"/>
      <c r="N543" s="126"/>
      <c r="O543" s="126"/>
      <c r="P543" s="135"/>
      <c r="Q543" s="135"/>
    </row>
    <row r="544" spans="11:17" ht="12.75">
      <c r="K544" s="118"/>
      <c r="L544" s="118"/>
      <c r="M544" s="126"/>
      <c r="N544" s="126"/>
      <c r="O544" s="126"/>
      <c r="P544" s="135"/>
      <c r="Q544" s="135"/>
    </row>
    <row r="545" spans="11:17" ht="12.75">
      <c r="K545" s="118"/>
      <c r="L545" s="118"/>
      <c r="M545" s="126"/>
      <c r="N545" s="126"/>
      <c r="O545" s="126"/>
      <c r="P545" s="135"/>
      <c r="Q545" s="135"/>
    </row>
    <row r="546" spans="11:17" ht="12.75">
      <c r="K546" s="118"/>
      <c r="L546" s="118"/>
      <c r="M546" s="126"/>
      <c r="N546" s="126"/>
      <c r="O546" s="126"/>
      <c r="P546" s="135"/>
      <c r="Q546" s="135"/>
    </row>
    <row r="547" spans="11:17" ht="12.75">
      <c r="K547" s="118"/>
      <c r="L547" s="118"/>
      <c r="M547" s="126"/>
      <c r="N547" s="126"/>
      <c r="O547" s="126"/>
      <c r="P547" s="135"/>
      <c r="Q547" s="135"/>
    </row>
    <row r="548" spans="11:17" ht="12.75">
      <c r="K548" s="118"/>
      <c r="L548" s="118"/>
      <c r="M548" s="126"/>
      <c r="N548" s="126"/>
      <c r="O548" s="126"/>
      <c r="P548" s="135"/>
      <c r="Q548" s="135"/>
    </row>
    <row r="549" spans="11:17" ht="12.75">
      <c r="K549" s="118"/>
      <c r="L549" s="118"/>
      <c r="M549" s="126"/>
      <c r="N549" s="126"/>
      <c r="O549" s="126"/>
      <c r="P549" s="135"/>
      <c r="Q549" s="135"/>
    </row>
    <row r="550" spans="11:17" ht="12.75">
      <c r="K550" s="118"/>
      <c r="L550" s="118"/>
      <c r="M550" s="126"/>
      <c r="N550" s="126"/>
      <c r="O550" s="126"/>
      <c r="P550" s="135"/>
      <c r="Q550" s="135"/>
    </row>
    <row r="551" spans="11:17" ht="12.75">
      <c r="K551" s="118"/>
      <c r="L551" s="118"/>
      <c r="M551" s="126"/>
      <c r="N551" s="126"/>
      <c r="O551" s="126"/>
      <c r="P551" s="135"/>
      <c r="Q551" s="135"/>
    </row>
    <row r="552" spans="11:17" ht="12.75">
      <c r="K552" s="118"/>
      <c r="L552" s="118"/>
      <c r="M552" s="126"/>
      <c r="N552" s="126"/>
      <c r="O552" s="126"/>
      <c r="P552" s="135"/>
      <c r="Q552" s="135"/>
    </row>
    <row r="553" spans="11:17" ht="12.75">
      <c r="K553" s="118"/>
      <c r="L553" s="118"/>
      <c r="M553" s="126"/>
      <c r="N553" s="126"/>
      <c r="O553" s="126"/>
      <c r="P553" s="135"/>
      <c r="Q553" s="135"/>
    </row>
    <row r="554" spans="11:17" ht="12.75">
      <c r="K554" s="118"/>
      <c r="L554" s="118"/>
      <c r="M554" s="126"/>
      <c r="N554" s="126"/>
      <c r="O554" s="126"/>
      <c r="P554" s="135"/>
      <c r="Q554" s="135"/>
    </row>
    <row r="555" spans="11:17" ht="12.75">
      <c r="K555" s="118"/>
      <c r="L555" s="118"/>
      <c r="M555" s="126"/>
      <c r="N555" s="126"/>
      <c r="O555" s="126"/>
      <c r="P555" s="135"/>
      <c r="Q555" s="135"/>
    </row>
    <row r="556" spans="11:17" ht="12.75">
      <c r="K556" s="118"/>
      <c r="L556" s="118"/>
      <c r="M556" s="126"/>
      <c r="N556" s="126"/>
      <c r="O556" s="126"/>
      <c r="P556" s="135"/>
      <c r="Q556" s="135"/>
    </row>
    <row r="557" spans="11:17" ht="12.75">
      <c r="K557" s="118"/>
      <c r="L557" s="118"/>
      <c r="M557" s="126"/>
      <c r="N557" s="126"/>
      <c r="O557" s="126"/>
      <c r="P557" s="135"/>
      <c r="Q557" s="135"/>
    </row>
    <row r="558" spans="11:17" ht="12.75">
      <c r="K558" s="118"/>
      <c r="L558" s="118"/>
      <c r="M558" s="126"/>
      <c r="N558" s="126"/>
      <c r="O558" s="126"/>
      <c r="P558" s="135"/>
      <c r="Q558" s="135"/>
    </row>
    <row r="559" spans="11:17" ht="12.75">
      <c r="K559" s="118"/>
      <c r="L559" s="118"/>
      <c r="M559" s="126"/>
      <c r="N559" s="126"/>
      <c r="O559" s="126"/>
      <c r="P559" s="135"/>
      <c r="Q559" s="135"/>
    </row>
    <row r="560" spans="11:17" ht="12.75">
      <c r="K560" s="118"/>
      <c r="L560" s="118"/>
      <c r="M560" s="126"/>
      <c r="N560" s="126"/>
      <c r="O560" s="126"/>
      <c r="P560" s="135"/>
      <c r="Q560" s="135"/>
    </row>
    <row r="561" spans="11:17" ht="12.75">
      <c r="K561" s="118"/>
      <c r="L561" s="118"/>
      <c r="M561" s="126"/>
      <c r="N561" s="126"/>
      <c r="O561" s="126"/>
      <c r="P561" s="135"/>
      <c r="Q561" s="135"/>
    </row>
    <row r="562" spans="11:17" ht="12.75">
      <c r="K562" s="118"/>
      <c r="L562" s="118"/>
      <c r="M562" s="126"/>
      <c r="N562" s="126"/>
      <c r="O562" s="126"/>
      <c r="P562" s="135"/>
      <c r="Q562" s="135"/>
    </row>
    <row r="563" spans="11:17" ht="12.75">
      <c r="K563" s="118"/>
      <c r="L563" s="118"/>
      <c r="M563" s="126"/>
      <c r="N563" s="126"/>
      <c r="O563" s="126"/>
      <c r="P563" s="135"/>
      <c r="Q563" s="135"/>
    </row>
    <row r="564" spans="11:17" ht="12.75">
      <c r="K564" s="118"/>
      <c r="L564" s="118"/>
      <c r="M564" s="126"/>
      <c r="N564" s="126"/>
      <c r="O564" s="126"/>
      <c r="P564" s="135"/>
      <c r="Q564" s="135"/>
    </row>
    <row r="565" spans="11:17" ht="12.75">
      <c r="K565" s="118"/>
      <c r="L565" s="118"/>
      <c r="M565" s="126"/>
      <c r="N565" s="126"/>
      <c r="O565" s="126"/>
      <c r="P565" s="135"/>
      <c r="Q565" s="135"/>
    </row>
    <row r="566" spans="11:17" ht="12.75">
      <c r="K566" s="118"/>
      <c r="L566" s="118"/>
      <c r="M566" s="126"/>
      <c r="N566" s="126"/>
      <c r="O566" s="126"/>
      <c r="P566" s="135"/>
      <c r="Q566" s="135"/>
    </row>
    <row r="567" spans="11:17" ht="12.75">
      <c r="K567" s="118"/>
      <c r="L567" s="118"/>
      <c r="M567" s="126"/>
      <c r="N567" s="126"/>
      <c r="O567" s="126"/>
      <c r="P567" s="135"/>
      <c r="Q567" s="135"/>
    </row>
    <row r="568" spans="11:17" ht="12.75">
      <c r="K568" s="118"/>
      <c r="L568" s="118"/>
      <c r="M568" s="126"/>
      <c r="N568" s="126"/>
      <c r="O568" s="126"/>
      <c r="P568" s="135"/>
      <c r="Q568" s="135"/>
    </row>
    <row r="569" spans="11:17" ht="12.75">
      <c r="K569" s="118"/>
      <c r="L569" s="118"/>
      <c r="M569" s="126"/>
      <c r="N569" s="126"/>
      <c r="O569" s="126"/>
      <c r="P569" s="135"/>
      <c r="Q569" s="135"/>
    </row>
    <row r="570" spans="11:17" ht="12.75">
      <c r="K570" s="118"/>
      <c r="L570" s="118"/>
      <c r="M570" s="126"/>
      <c r="N570" s="126"/>
      <c r="O570" s="126"/>
      <c r="P570" s="135"/>
      <c r="Q570" s="135"/>
    </row>
    <row r="571" spans="11:17" ht="12.75">
      <c r="K571" s="118"/>
      <c r="L571" s="118"/>
      <c r="M571" s="126"/>
      <c r="N571" s="126"/>
      <c r="O571" s="126"/>
      <c r="P571" s="135"/>
      <c r="Q571" s="135"/>
    </row>
    <row r="572" spans="11:17" ht="12.75">
      <c r="K572" s="118"/>
      <c r="L572" s="118"/>
      <c r="M572" s="126"/>
      <c r="N572" s="126"/>
      <c r="O572" s="126"/>
      <c r="P572" s="135"/>
      <c r="Q572" s="135"/>
    </row>
    <row r="573" spans="11:17" ht="12.75">
      <c r="K573" s="118"/>
      <c r="L573" s="118"/>
      <c r="M573" s="126"/>
      <c r="N573" s="126"/>
      <c r="O573" s="126"/>
      <c r="P573" s="135"/>
      <c r="Q573" s="135"/>
    </row>
    <row r="574" spans="11:17" ht="12.75">
      <c r="K574" s="118"/>
      <c r="L574" s="118"/>
      <c r="M574" s="126"/>
      <c r="N574" s="126"/>
      <c r="O574" s="126"/>
      <c r="P574" s="135"/>
      <c r="Q574" s="135"/>
    </row>
    <row r="575" spans="11:17" ht="12.75">
      <c r="K575" s="118"/>
      <c r="L575" s="118"/>
      <c r="M575" s="126"/>
      <c r="N575" s="126"/>
      <c r="O575" s="126"/>
      <c r="P575" s="135"/>
      <c r="Q575" s="135"/>
    </row>
    <row r="576" spans="11:17" ht="12.75">
      <c r="K576" s="118"/>
      <c r="L576" s="118"/>
      <c r="M576" s="126"/>
      <c r="N576" s="126"/>
      <c r="O576" s="126"/>
      <c r="P576" s="135"/>
      <c r="Q576" s="135"/>
    </row>
    <row r="577" spans="11:17" ht="12.75">
      <c r="K577" s="118"/>
      <c r="L577" s="118"/>
      <c r="M577" s="126"/>
      <c r="N577" s="126"/>
      <c r="O577" s="126"/>
      <c r="P577" s="135"/>
      <c r="Q577" s="135"/>
    </row>
    <row r="578" spans="11:17" ht="12.75">
      <c r="K578" s="118"/>
      <c r="L578" s="118"/>
      <c r="M578" s="126"/>
      <c r="N578" s="126"/>
      <c r="O578" s="126"/>
      <c r="P578" s="135"/>
      <c r="Q578" s="135"/>
    </row>
    <row r="579" spans="11:17" ht="12.75">
      <c r="K579" s="118"/>
      <c r="L579" s="118"/>
      <c r="M579" s="126"/>
      <c r="N579" s="126"/>
      <c r="O579" s="126"/>
      <c r="P579" s="135"/>
      <c r="Q579" s="135"/>
    </row>
    <row r="580" spans="11:17" ht="12.75">
      <c r="K580" s="118"/>
      <c r="L580" s="118"/>
      <c r="M580" s="126"/>
      <c r="N580" s="126"/>
      <c r="O580" s="126"/>
      <c r="P580" s="135"/>
      <c r="Q580" s="135"/>
    </row>
    <row r="581" spans="11:17" ht="12.75">
      <c r="K581" s="118"/>
      <c r="L581" s="118"/>
      <c r="M581" s="126"/>
      <c r="N581" s="126"/>
      <c r="O581" s="126"/>
      <c r="P581" s="135"/>
      <c r="Q581" s="135"/>
    </row>
    <row r="582" spans="11:17" ht="12.75">
      <c r="K582" s="118"/>
      <c r="L582" s="118"/>
      <c r="M582" s="126"/>
      <c r="N582" s="126"/>
      <c r="O582" s="126"/>
      <c r="P582" s="135"/>
      <c r="Q582" s="135"/>
    </row>
    <row r="583" spans="11:17" ht="12.75">
      <c r="K583" s="118"/>
      <c r="L583" s="118"/>
      <c r="M583" s="126"/>
      <c r="N583" s="126"/>
      <c r="O583" s="126"/>
      <c r="P583" s="135"/>
      <c r="Q583" s="135"/>
    </row>
    <row r="584" spans="11:17" ht="12.75">
      <c r="K584" s="118"/>
      <c r="L584" s="118"/>
      <c r="M584" s="126"/>
      <c r="N584" s="126"/>
      <c r="O584" s="126"/>
      <c r="P584" s="135"/>
      <c r="Q584" s="135"/>
    </row>
    <row r="585" spans="11:17" ht="12.75">
      <c r="K585" s="118"/>
      <c r="L585" s="118"/>
      <c r="M585" s="126"/>
      <c r="N585" s="126"/>
      <c r="O585" s="126"/>
      <c r="P585" s="135"/>
      <c r="Q585" s="135"/>
    </row>
    <row r="586" spans="11:17" ht="12.75">
      <c r="K586" s="118"/>
      <c r="L586" s="118"/>
      <c r="M586" s="126"/>
      <c r="N586" s="126"/>
      <c r="O586" s="126"/>
      <c r="P586" s="135"/>
      <c r="Q586" s="135"/>
    </row>
    <row r="587" spans="11:17" ht="12.75">
      <c r="K587" s="118"/>
      <c r="L587" s="118"/>
      <c r="M587" s="126"/>
      <c r="N587" s="126"/>
      <c r="O587" s="126"/>
      <c r="P587" s="135"/>
      <c r="Q587" s="135"/>
    </row>
    <row r="588" spans="11:17" ht="12.75">
      <c r="K588" s="118"/>
      <c r="L588" s="118"/>
      <c r="M588" s="126"/>
      <c r="N588" s="126"/>
      <c r="O588" s="126"/>
      <c r="P588" s="135"/>
      <c r="Q588" s="135"/>
    </row>
    <row r="589" spans="11:17" ht="12.75">
      <c r="K589" s="118"/>
      <c r="L589" s="118"/>
      <c r="M589" s="126"/>
      <c r="N589" s="126"/>
      <c r="O589" s="126"/>
      <c r="P589" s="135"/>
      <c r="Q589" s="135"/>
    </row>
    <row r="590" spans="11:17" ht="12.75">
      <c r="K590" s="118"/>
      <c r="L590" s="118"/>
      <c r="M590" s="126"/>
      <c r="N590" s="126"/>
      <c r="O590" s="126"/>
      <c r="P590" s="135"/>
      <c r="Q590" s="135"/>
    </row>
    <row r="591" spans="11:17" ht="12.75">
      <c r="K591" s="118"/>
      <c r="L591" s="118"/>
      <c r="M591" s="126"/>
      <c r="N591" s="126"/>
      <c r="O591" s="126"/>
      <c r="P591" s="135"/>
      <c r="Q591" s="135"/>
    </row>
    <row r="592" spans="11:17" ht="12.75">
      <c r="K592" s="118"/>
      <c r="L592" s="118"/>
      <c r="M592" s="126"/>
      <c r="N592" s="126"/>
      <c r="O592" s="126"/>
      <c r="P592" s="135"/>
      <c r="Q592" s="135"/>
    </row>
    <row r="593" spans="11:17" ht="12.75">
      <c r="K593" s="118"/>
      <c r="L593" s="118"/>
      <c r="M593" s="126"/>
      <c r="N593" s="126"/>
      <c r="O593" s="126"/>
      <c r="P593" s="135"/>
      <c r="Q593" s="135"/>
    </row>
    <row r="594" spans="11:17" ht="12.75">
      <c r="K594" s="118"/>
      <c r="L594" s="118"/>
      <c r="M594" s="126"/>
      <c r="N594" s="126"/>
      <c r="O594" s="126"/>
      <c r="P594" s="135"/>
      <c r="Q594" s="135"/>
    </row>
    <row r="595" spans="11:17" ht="12.75">
      <c r="K595" s="118"/>
      <c r="L595" s="118"/>
      <c r="M595" s="126"/>
      <c r="N595" s="126"/>
      <c r="O595" s="126"/>
      <c r="P595" s="135"/>
      <c r="Q595" s="135"/>
    </row>
    <row r="596" spans="11:17" ht="12.75">
      <c r="K596" s="118"/>
      <c r="L596" s="118"/>
      <c r="M596" s="126"/>
      <c r="N596" s="126"/>
      <c r="O596" s="126"/>
      <c r="P596" s="135"/>
      <c r="Q596" s="135"/>
    </row>
    <row r="597" spans="11:17" ht="12.75">
      <c r="K597" s="118"/>
      <c r="L597" s="118"/>
      <c r="M597" s="126"/>
      <c r="N597" s="126"/>
      <c r="O597" s="126"/>
      <c r="P597" s="135"/>
      <c r="Q597" s="135"/>
    </row>
    <row r="598" spans="11:17" ht="12.75">
      <c r="K598" s="118"/>
      <c r="L598" s="118"/>
      <c r="M598" s="126"/>
      <c r="N598" s="126"/>
      <c r="O598" s="126"/>
      <c r="P598" s="135"/>
      <c r="Q598" s="135"/>
    </row>
    <row r="599" spans="11:17" ht="12.75">
      <c r="K599" s="118"/>
      <c r="L599" s="118"/>
      <c r="M599" s="126"/>
      <c r="N599" s="126"/>
      <c r="O599" s="126"/>
      <c r="P599" s="135"/>
      <c r="Q599" s="135"/>
    </row>
    <row r="600" spans="11:17" ht="12.75">
      <c r="K600" s="118"/>
      <c r="L600" s="118"/>
      <c r="M600" s="126"/>
      <c r="N600" s="126"/>
      <c r="O600" s="126"/>
      <c r="P600" s="135"/>
      <c r="Q600" s="135"/>
    </row>
    <row r="601" spans="11:17" ht="12.75">
      <c r="K601" s="118"/>
      <c r="L601" s="118"/>
      <c r="M601" s="126"/>
      <c r="N601" s="126"/>
      <c r="O601" s="126"/>
      <c r="P601" s="135"/>
      <c r="Q601" s="135"/>
    </row>
    <row r="602" spans="11:17" ht="12.75">
      <c r="K602" s="118"/>
      <c r="L602" s="118"/>
      <c r="M602" s="126"/>
      <c r="N602" s="126"/>
      <c r="O602" s="126"/>
      <c r="P602" s="135"/>
      <c r="Q602" s="135"/>
    </row>
    <row r="603" spans="11:17" ht="12.75">
      <c r="K603" s="118"/>
      <c r="L603" s="118"/>
      <c r="M603" s="126"/>
      <c r="N603" s="126"/>
      <c r="O603" s="126"/>
      <c r="P603" s="135"/>
      <c r="Q603" s="135"/>
    </row>
    <row r="604" spans="11:17" ht="12.75">
      <c r="K604" s="118"/>
      <c r="L604" s="118"/>
      <c r="M604" s="126"/>
      <c r="N604" s="126"/>
      <c r="O604" s="126"/>
      <c r="P604" s="135"/>
      <c r="Q604" s="135"/>
    </row>
    <row r="605" spans="11:17" ht="12.75">
      <c r="K605" s="118"/>
      <c r="L605" s="118"/>
      <c r="M605" s="126"/>
      <c r="N605" s="126"/>
      <c r="O605" s="126"/>
      <c r="P605" s="135"/>
      <c r="Q605" s="135"/>
    </row>
    <row r="606" spans="11:17" ht="12.75">
      <c r="K606" s="118"/>
      <c r="L606" s="118"/>
      <c r="M606" s="126"/>
      <c r="N606" s="126"/>
      <c r="O606" s="126"/>
      <c r="P606" s="135"/>
      <c r="Q606" s="135"/>
    </row>
    <row r="607" spans="11:17" ht="12.75">
      <c r="K607" s="118"/>
      <c r="L607" s="118"/>
      <c r="M607" s="126"/>
      <c r="N607" s="126"/>
      <c r="O607" s="126"/>
      <c r="P607" s="135"/>
      <c r="Q607" s="135"/>
    </row>
    <row r="608" spans="11:17" ht="12.75">
      <c r="K608" s="118"/>
      <c r="L608" s="118"/>
      <c r="M608" s="126"/>
      <c r="N608" s="126"/>
      <c r="O608" s="126"/>
      <c r="P608" s="135"/>
      <c r="Q608" s="135"/>
    </row>
    <row r="609" spans="11:17" ht="12.75">
      <c r="K609" s="118"/>
      <c r="L609" s="118"/>
      <c r="M609" s="126"/>
      <c r="N609" s="126"/>
      <c r="O609" s="126"/>
      <c r="P609" s="135"/>
      <c r="Q609" s="135"/>
    </row>
    <row r="610" spans="11:17" ht="12.75">
      <c r="K610" s="118"/>
      <c r="L610" s="118"/>
      <c r="M610" s="126"/>
      <c r="N610" s="126"/>
      <c r="O610" s="126"/>
      <c r="P610" s="135"/>
      <c r="Q610" s="135"/>
    </row>
    <row r="611" spans="11:17" ht="12.75">
      <c r="K611" s="118"/>
      <c r="L611" s="118"/>
      <c r="M611" s="126"/>
      <c r="N611" s="126"/>
      <c r="O611" s="126"/>
      <c r="P611" s="135"/>
      <c r="Q611" s="135"/>
    </row>
    <row r="612" spans="11:17" ht="12.75">
      <c r="K612" s="118"/>
      <c r="L612" s="118"/>
      <c r="M612" s="126"/>
      <c r="N612" s="126"/>
      <c r="O612" s="126"/>
      <c r="P612" s="135"/>
      <c r="Q612" s="135"/>
    </row>
    <row r="613" spans="11:17" ht="12.75">
      <c r="K613" s="118"/>
      <c r="L613" s="118"/>
      <c r="M613" s="126"/>
      <c r="N613" s="126"/>
      <c r="O613" s="126"/>
      <c r="P613" s="135"/>
      <c r="Q613" s="135"/>
    </row>
    <row r="614" spans="11:17" ht="12.75">
      <c r="K614" s="118"/>
      <c r="L614" s="118"/>
      <c r="M614" s="126"/>
      <c r="N614" s="126"/>
      <c r="O614" s="126"/>
      <c r="P614" s="135"/>
      <c r="Q614" s="135"/>
    </row>
    <row r="615" spans="11:17" ht="12.75">
      <c r="K615" s="118"/>
      <c r="L615" s="118"/>
      <c r="M615" s="126"/>
      <c r="N615" s="126"/>
      <c r="O615" s="126"/>
      <c r="P615" s="135"/>
      <c r="Q615" s="135"/>
    </row>
    <row r="616" spans="11:17" ht="12.75">
      <c r="K616" s="118"/>
      <c r="L616" s="118"/>
      <c r="M616" s="126"/>
      <c r="N616" s="126"/>
      <c r="O616" s="126"/>
      <c r="P616" s="135"/>
      <c r="Q616" s="135"/>
    </row>
    <row r="617" spans="11:17" ht="12.75">
      <c r="K617" s="118"/>
      <c r="L617" s="118"/>
      <c r="M617" s="126"/>
      <c r="N617" s="126"/>
      <c r="O617" s="126"/>
      <c r="P617" s="135"/>
      <c r="Q617" s="135"/>
    </row>
    <row r="618" spans="11:17" ht="12.75">
      <c r="K618" s="118"/>
      <c r="L618" s="118"/>
      <c r="M618" s="126"/>
      <c r="N618" s="126"/>
      <c r="O618" s="126"/>
      <c r="P618" s="135"/>
      <c r="Q618" s="135"/>
    </row>
    <row r="619" spans="11:17" ht="12.75">
      <c r="K619" s="118"/>
      <c r="L619" s="118"/>
      <c r="M619" s="126"/>
      <c r="N619" s="126"/>
      <c r="O619" s="126"/>
      <c r="P619" s="135"/>
      <c r="Q619" s="135"/>
    </row>
    <row r="620" spans="11:17" ht="12.75">
      <c r="K620" s="118"/>
      <c r="L620" s="118"/>
      <c r="M620" s="126"/>
      <c r="N620" s="126"/>
      <c r="O620" s="126"/>
      <c r="P620" s="135"/>
      <c r="Q620" s="135"/>
    </row>
    <row r="621" spans="11:17" ht="12.75">
      <c r="K621" s="118"/>
      <c r="L621" s="118"/>
      <c r="M621" s="126"/>
      <c r="N621" s="126"/>
      <c r="O621" s="126"/>
      <c r="P621" s="135"/>
      <c r="Q621" s="135"/>
    </row>
    <row r="622" spans="11:17" ht="12.75">
      <c r="K622" s="118"/>
      <c r="L622" s="118"/>
      <c r="M622" s="126"/>
      <c r="N622" s="126"/>
      <c r="O622" s="126"/>
      <c r="P622" s="135"/>
      <c r="Q622" s="135"/>
    </row>
    <row r="623" spans="11:17" ht="12.75">
      <c r="K623" s="118"/>
      <c r="L623" s="118"/>
      <c r="M623" s="126"/>
      <c r="N623" s="126"/>
      <c r="O623" s="126"/>
      <c r="P623" s="135"/>
      <c r="Q623" s="135"/>
    </row>
    <row r="624" spans="11:17" ht="12.75">
      <c r="K624" s="118"/>
      <c r="L624" s="118"/>
      <c r="M624" s="126"/>
      <c r="N624" s="126"/>
      <c r="O624" s="126"/>
      <c r="P624" s="135"/>
      <c r="Q624" s="135"/>
    </row>
    <row r="625" spans="11:17" ht="12.75">
      <c r="K625" s="118"/>
      <c r="L625" s="118"/>
      <c r="M625" s="126"/>
      <c r="N625" s="126"/>
      <c r="O625" s="126"/>
      <c r="P625" s="135"/>
      <c r="Q625" s="135"/>
    </row>
    <row r="626" spans="11:17" ht="12.75">
      <c r="K626" s="118"/>
      <c r="L626" s="118"/>
      <c r="M626" s="126"/>
      <c r="N626" s="126"/>
      <c r="O626" s="126"/>
      <c r="P626" s="135"/>
      <c r="Q626" s="135"/>
    </row>
    <row r="627" spans="11:17" ht="12.75">
      <c r="K627" s="118"/>
      <c r="L627" s="118"/>
      <c r="M627" s="126"/>
      <c r="N627" s="126"/>
      <c r="O627" s="126"/>
      <c r="P627" s="135"/>
      <c r="Q627" s="135"/>
    </row>
    <row r="628" spans="11:17" ht="12.75">
      <c r="K628" s="118"/>
      <c r="L628" s="118"/>
      <c r="M628" s="126"/>
      <c r="N628" s="126"/>
      <c r="O628" s="126"/>
      <c r="P628" s="135"/>
      <c r="Q628" s="135"/>
    </row>
    <row r="629" spans="11:17" ht="12.75">
      <c r="K629" s="118"/>
      <c r="L629" s="118"/>
      <c r="M629" s="126"/>
      <c r="N629" s="126"/>
      <c r="O629" s="126"/>
      <c r="P629" s="135"/>
      <c r="Q629" s="135"/>
    </row>
    <row r="630" spans="11:17" ht="12.75">
      <c r="K630" s="118"/>
      <c r="L630" s="118"/>
      <c r="M630" s="126"/>
      <c r="N630" s="126"/>
      <c r="O630" s="126"/>
      <c r="P630" s="135"/>
      <c r="Q630" s="135"/>
    </row>
    <row r="631" spans="11:17" ht="12.75">
      <c r="K631" s="118"/>
      <c r="L631" s="118"/>
      <c r="M631" s="126"/>
      <c r="N631" s="126"/>
      <c r="O631" s="126"/>
      <c r="P631" s="135"/>
      <c r="Q631" s="135"/>
    </row>
    <row r="632" spans="11:17" ht="12.75">
      <c r="K632" s="118"/>
      <c r="L632" s="118"/>
      <c r="M632" s="126"/>
      <c r="N632" s="126"/>
      <c r="O632" s="126"/>
      <c r="P632" s="135"/>
      <c r="Q632" s="135"/>
    </row>
    <row r="633" spans="11:17" ht="12.75">
      <c r="K633" s="118"/>
      <c r="L633" s="118"/>
      <c r="M633" s="126"/>
      <c r="N633" s="126"/>
      <c r="O633" s="126"/>
      <c r="P633" s="135"/>
      <c r="Q633" s="135"/>
    </row>
    <row r="634" spans="11:17" ht="12.75">
      <c r="K634" s="118"/>
      <c r="L634" s="118"/>
      <c r="M634" s="126"/>
      <c r="N634" s="126"/>
      <c r="O634" s="126"/>
      <c r="P634" s="135"/>
      <c r="Q634" s="135"/>
    </row>
    <row r="635" spans="11:17" ht="12.75">
      <c r="K635" s="118"/>
      <c r="L635" s="118"/>
      <c r="M635" s="126"/>
      <c r="N635" s="126"/>
      <c r="O635" s="126"/>
      <c r="P635" s="135"/>
      <c r="Q635" s="135"/>
    </row>
    <row r="636" spans="11:17" ht="12.75">
      <c r="K636" s="118"/>
      <c r="L636" s="118"/>
      <c r="M636" s="126"/>
      <c r="N636" s="126"/>
      <c r="O636" s="126"/>
      <c r="P636" s="135"/>
      <c r="Q636" s="135"/>
    </row>
    <row r="637" spans="11:17" ht="12.75">
      <c r="K637" s="118"/>
      <c r="L637" s="118"/>
      <c r="M637" s="126"/>
      <c r="N637" s="126"/>
      <c r="O637" s="126"/>
      <c r="P637" s="135"/>
      <c r="Q637" s="135"/>
    </row>
    <row r="638" spans="11:17" ht="12.75">
      <c r="K638" s="118"/>
      <c r="L638" s="118"/>
      <c r="M638" s="126"/>
      <c r="N638" s="126"/>
      <c r="O638" s="126"/>
      <c r="P638" s="135"/>
      <c r="Q638" s="135"/>
    </row>
    <row r="639" spans="11:17" ht="12.75">
      <c r="K639" s="118"/>
      <c r="L639" s="118"/>
      <c r="M639" s="126"/>
      <c r="N639" s="126"/>
      <c r="O639" s="126"/>
      <c r="P639" s="135"/>
      <c r="Q639" s="135"/>
    </row>
    <row r="640" spans="11:17" ht="12.75">
      <c r="K640" s="118"/>
      <c r="L640" s="118"/>
      <c r="M640" s="126"/>
      <c r="N640" s="126"/>
      <c r="O640" s="126"/>
      <c r="P640" s="135"/>
      <c r="Q640" s="135"/>
    </row>
    <row r="641" spans="11:17" ht="12.75">
      <c r="K641" s="118"/>
      <c r="L641" s="118"/>
      <c r="M641" s="126"/>
      <c r="N641" s="126"/>
      <c r="O641" s="126"/>
      <c r="P641" s="135"/>
      <c r="Q641" s="135"/>
    </row>
    <row r="642" spans="11:17" ht="12.75">
      <c r="K642" s="118"/>
      <c r="L642" s="118"/>
      <c r="M642" s="126"/>
      <c r="N642" s="126"/>
      <c r="O642" s="126"/>
      <c r="P642" s="135"/>
      <c r="Q642" s="135"/>
    </row>
    <row r="643" spans="11:17" ht="12.75">
      <c r="K643" s="118"/>
      <c r="L643" s="118"/>
      <c r="M643" s="126"/>
      <c r="N643" s="126"/>
      <c r="O643" s="126"/>
      <c r="P643" s="135"/>
      <c r="Q643" s="135"/>
    </row>
    <row r="644" spans="11:17" ht="12.75">
      <c r="K644" s="118"/>
      <c r="L644" s="118"/>
      <c r="M644" s="126"/>
      <c r="N644" s="126"/>
      <c r="O644" s="126"/>
      <c r="P644" s="135"/>
      <c r="Q644" s="135"/>
    </row>
    <row r="645" spans="11:17" ht="12.75">
      <c r="K645" s="118"/>
      <c r="L645" s="118"/>
      <c r="M645" s="126"/>
      <c r="N645" s="126"/>
      <c r="O645" s="126"/>
      <c r="P645" s="135"/>
      <c r="Q645" s="135"/>
    </row>
    <row r="646" spans="11:17" ht="12.75">
      <c r="K646" s="118"/>
      <c r="L646" s="118"/>
      <c r="M646" s="126"/>
      <c r="N646" s="126"/>
      <c r="O646" s="126"/>
      <c r="P646" s="135"/>
      <c r="Q646" s="135"/>
    </row>
    <row r="647" spans="11:17" ht="12.75">
      <c r="K647" s="118"/>
      <c r="L647" s="118"/>
      <c r="M647" s="126"/>
      <c r="N647" s="126"/>
      <c r="O647" s="126"/>
      <c r="P647" s="135"/>
      <c r="Q647" s="135"/>
    </row>
    <row r="648" spans="11:17" ht="12.75">
      <c r="K648" s="118"/>
      <c r="L648" s="118"/>
      <c r="M648" s="126"/>
      <c r="N648" s="126"/>
      <c r="O648" s="126"/>
      <c r="P648" s="135"/>
      <c r="Q648" s="135"/>
    </row>
    <row r="649" spans="11:17" ht="12.75">
      <c r="K649" s="118"/>
      <c r="L649" s="118"/>
      <c r="M649" s="126"/>
      <c r="N649" s="126"/>
      <c r="O649" s="126"/>
      <c r="P649" s="135"/>
      <c r="Q649" s="135"/>
    </row>
    <row r="650" spans="11:17" ht="12.75">
      <c r="K650" s="118"/>
      <c r="L650" s="118"/>
      <c r="M650" s="126"/>
      <c r="N650" s="126"/>
      <c r="O650" s="126"/>
      <c r="P650" s="135"/>
      <c r="Q650" s="135"/>
    </row>
    <row r="651" spans="11:17" ht="12.75">
      <c r="K651" s="118"/>
      <c r="L651" s="118"/>
      <c r="M651" s="126"/>
      <c r="N651" s="126"/>
      <c r="O651" s="126"/>
      <c r="P651" s="135"/>
      <c r="Q651" s="135"/>
    </row>
    <row r="652" spans="11:17" ht="12.75">
      <c r="K652" s="118"/>
      <c r="L652" s="118"/>
      <c r="M652" s="126"/>
      <c r="N652" s="126"/>
      <c r="O652" s="126"/>
      <c r="P652" s="135"/>
      <c r="Q652" s="135"/>
    </row>
    <row r="653" spans="11:17" ht="12.75">
      <c r="K653" s="118"/>
      <c r="L653" s="118"/>
      <c r="M653" s="126"/>
      <c r="N653" s="126"/>
      <c r="O653" s="126"/>
      <c r="P653" s="135"/>
      <c r="Q653" s="135"/>
    </row>
    <row r="654" spans="11:17" ht="12.75">
      <c r="K654" s="118"/>
      <c r="L654" s="118"/>
      <c r="M654" s="126"/>
      <c r="N654" s="126"/>
      <c r="O654" s="126"/>
      <c r="P654" s="135"/>
      <c r="Q654" s="135"/>
    </row>
    <row r="655" spans="11:17" ht="12.75">
      <c r="K655" s="118"/>
      <c r="L655" s="118"/>
      <c r="M655" s="126"/>
      <c r="N655" s="126"/>
      <c r="O655" s="126"/>
      <c r="P655" s="135"/>
      <c r="Q655" s="135"/>
    </row>
    <row r="656" spans="11:17" ht="12.75">
      <c r="K656" s="118"/>
      <c r="L656" s="118"/>
      <c r="M656" s="126"/>
      <c r="N656" s="126"/>
      <c r="O656" s="126"/>
      <c r="P656" s="135"/>
      <c r="Q656" s="135"/>
    </row>
    <row r="657" spans="11:17" ht="12.75">
      <c r="K657" s="118"/>
      <c r="L657" s="118"/>
      <c r="M657" s="126"/>
      <c r="N657" s="126"/>
      <c r="O657" s="126"/>
      <c r="P657" s="135"/>
      <c r="Q657" s="135"/>
    </row>
    <row r="658" spans="11:17" ht="12.75">
      <c r="K658" s="118"/>
      <c r="L658" s="118"/>
      <c r="M658" s="126"/>
      <c r="N658" s="126"/>
      <c r="O658" s="126"/>
      <c r="P658" s="135"/>
      <c r="Q658" s="135"/>
    </row>
    <row r="659" spans="11:17" ht="12.75">
      <c r="K659" s="118"/>
      <c r="L659" s="118"/>
      <c r="M659" s="126"/>
      <c r="N659" s="126"/>
      <c r="O659" s="126"/>
      <c r="P659" s="135"/>
      <c r="Q659" s="135"/>
    </row>
    <row r="660" spans="11:17" ht="12.75">
      <c r="K660" s="118"/>
      <c r="L660" s="118"/>
      <c r="M660" s="126"/>
      <c r="N660" s="126"/>
      <c r="O660" s="126"/>
      <c r="P660" s="135"/>
      <c r="Q660" s="135"/>
    </row>
    <row r="661" spans="11:17" ht="12.75">
      <c r="K661" s="118"/>
      <c r="L661" s="118"/>
      <c r="M661" s="126"/>
      <c r="N661" s="126"/>
      <c r="O661" s="126"/>
      <c r="P661" s="135"/>
      <c r="Q661" s="135"/>
    </row>
    <row r="662" spans="11:17" ht="12.75">
      <c r="K662" s="118"/>
      <c r="L662" s="118"/>
      <c r="M662" s="126"/>
      <c r="N662" s="126"/>
      <c r="O662" s="126"/>
      <c r="P662" s="135"/>
      <c r="Q662" s="135"/>
    </row>
    <row r="663" spans="11:17" ht="12.75">
      <c r="K663" s="118"/>
      <c r="L663" s="118"/>
      <c r="M663" s="126"/>
      <c r="N663" s="126"/>
      <c r="O663" s="126"/>
      <c r="P663" s="135"/>
      <c r="Q663" s="135"/>
    </row>
    <row r="664" spans="11:17" ht="12.75">
      <c r="K664" s="118"/>
      <c r="L664" s="118"/>
      <c r="M664" s="126"/>
      <c r="N664" s="126"/>
      <c r="O664" s="126"/>
      <c r="P664" s="135"/>
      <c r="Q664" s="135"/>
    </row>
    <row r="665" spans="11:17" ht="12.75">
      <c r="K665" s="118"/>
      <c r="L665" s="118"/>
      <c r="M665" s="126"/>
      <c r="N665" s="126"/>
      <c r="O665" s="126"/>
      <c r="P665" s="135"/>
      <c r="Q665" s="135"/>
    </row>
    <row r="666" spans="11:17" ht="12.75">
      <c r="K666" s="118"/>
      <c r="L666" s="118"/>
      <c r="M666" s="126"/>
      <c r="N666" s="126"/>
      <c r="O666" s="126"/>
      <c r="P666" s="135"/>
      <c r="Q666" s="135"/>
    </row>
    <row r="667" spans="11:17" ht="12.75">
      <c r="K667" s="118"/>
      <c r="L667" s="118"/>
      <c r="M667" s="126"/>
      <c r="N667" s="126"/>
      <c r="O667" s="126"/>
      <c r="P667" s="135"/>
      <c r="Q667" s="135"/>
    </row>
    <row r="668" spans="11:17" ht="12.75">
      <c r="K668" s="118"/>
      <c r="L668" s="118"/>
      <c r="M668" s="126"/>
      <c r="N668" s="126"/>
      <c r="O668" s="126"/>
      <c r="P668" s="135"/>
      <c r="Q668" s="135"/>
    </row>
    <row r="669" spans="11:17" ht="12.75">
      <c r="K669" s="118"/>
      <c r="L669" s="118"/>
      <c r="M669" s="126"/>
      <c r="N669" s="126"/>
      <c r="O669" s="126"/>
      <c r="P669" s="135"/>
      <c r="Q669" s="135"/>
    </row>
    <row r="670" spans="11:17" ht="12.75">
      <c r="K670" s="118"/>
      <c r="L670" s="118"/>
      <c r="M670" s="126"/>
      <c r="N670" s="126"/>
      <c r="O670" s="126"/>
      <c r="P670" s="135"/>
      <c r="Q670" s="135"/>
    </row>
    <row r="671" spans="11:17" ht="12.75">
      <c r="K671" s="118"/>
      <c r="L671" s="118"/>
      <c r="M671" s="126"/>
      <c r="N671" s="126"/>
      <c r="O671" s="126"/>
      <c r="P671" s="135"/>
      <c r="Q671" s="135"/>
    </row>
    <row r="672" spans="11:17" ht="12.75">
      <c r="K672" s="118"/>
      <c r="L672" s="118"/>
      <c r="M672" s="126"/>
      <c r="N672" s="126"/>
      <c r="O672" s="126"/>
      <c r="P672" s="135"/>
      <c r="Q672" s="135"/>
    </row>
    <row r="673" spans="11:17" ht="12.75">
      <c r="K673" s="118"/>
      <c r="L673" s="118"/>
      <c r="M673" s="126"/>
      <c r="N673" s="126"/>
      <c r="O673" s="126"/>
      <c r="P673" s="135"/>
      <c r="Q673" s="135"/>
    </row>
    <row r="674" spans="11:17" ht="12.75">
      <c r="K674" s="118"/>
      <c r="L674" s="118"/>
      <c r="M674" s="126"/>
      <c r="N674" s="126"/>
      <c r="O674" s="126"/>
      <c r="P674" s="135"/>
      <c r="Q674" s="135"/>
    </row>
    <row r="675" spans="11:17" ht="12.75">
      <c r="K675" s="118"/>
      <c r="L675" s="118"/>
      <c r="M675" s="126"/>
      <c r="N675" s="126"/>
      <c r="O675" s="126"/>
      <c r="P675" s="135"/>
      <c r="Q675" s="135"/>
    </row>
    <row r="676" spans="11:17" ht="12.75">
      <c r="K676" s="118"/>
      <c r="L676" s="118"/>
      <c r="M676" s="126"/>
      <c r="N676" s="126"/>
      <c r="O676" s="126"/>
      <c r="P676" s="135"/>
      <c r="Q676" s="135"/>
    </row>
    <row r="677" spans="11:17" ht="12.75">
      <c r="K677" s="118"/>
      <c r="L677" s="118"/>
      <c r="M677" s="126"/>
      <c r="N677" s="126"/>
      <c r="O677" s="126"/>
      <c r="P677" s="135"/>
      <c r="Q677" s="135"/>
    </row>
    <row r="678" spans="11:17" ht="12.75">
      <c r="K678" s="118"/>
      <c r="L678" s="118"/>
      <c r="M678" s="126"/>
      <c r="N678" s="126"/>
      <c r="O678" s="126"/>
      <c r="P678" s="135"/>
      <c r="Q678" s="135"/>
    </row>
    <row r="679" spans="11:17" ht="12.75">
      <c r="K679" s="118"/>
      <c r="L679" s="118"/>
      <c r="M679" s="126"/>
      <c r="N679" s="126"/>
      <c r="O679" s="126"/>
      <c r="P679" s="135"/>
      <c r="Q679" s="135"/>
    </row>
    <row r="680" spans="11:17" ht="12.75">
      <c r="K680" s="118"/>
      <c r="L680" s="118"/>
      <c r="M680" s="126"/>
      <c r="N680" s="126"/>
      <c r="O680" s="126"/>
      <c r="P680" s="135"/>
      <c r="Q680" s="135"/>
    </row>
    <row r="681" spans="11:17" ht="12.75">
      <c r="K681" s="118"/>
      <c r="L681" s="118"/>
      <c r="M681" s="126"/>
      <c r="N681" s="126"/>
      <c r="O681" s="126"/>
      <c r="P681" s="135"/>
      <c r="Q681" s="135"/>
    </row>
    <row r="682" spans="11:17" ht="12.75">
      <c r="K682" s="118"/>
      <c r="L682" s="118"/>
      <c r="M682" s="126"/>
      <c r="N682" s="126"/>
      <c r="O682" s="126"/>
      <c r="P682" s="135"/>
      <c r="Q682" s="135"/>
    </row>
    <row r="683" spans="11:17" ht="12.75">
      <c r="K683" s="118"/>
      <c r="L683" s="118"/>
      <c r="M683" s="126"/>
      <c r="N683" s="126"/>
      <c r="O683" s="126"/>
      <c r="P683" s="135"/>
      <c r="Q683" s="135"/>
    </row>
    <row r="684" spans="11:17" ht="12.75">
      <c r="K684" s="118"/>
      <c r="L684" s="118"/>
      <c r="M684" s="126"/>
      <c r="N684" s="126"/>
      <c r="O684" s="126"/>
      <c r="P684" s="135"/>
      <c r="Q684" s="135"/>
    </row>
    <row r="685" spans="11:17" ht="12.75">
      <c r="K685" s="118"/>
      <c r="L685" s="118"/>
      <c r="M685" s="126"/>
      <c r="N685" s="126"/>
      <c r="O685" s="126"/>
      <c r="P685" s="135"/>
      <c r="Q685" s="135"/>
    </row>
    <row r="686" spans="11:17" ht="12.75">
      <c r="K686" s="118"/>
      <c r="L686" s="118"/>
      <c r="M686" s="126"/>
      <c r="N686" s="126"/>
      <c r="O686" s="126"/>
      <c r="P686" s="135"/>
      <c r="Q686" s="135"/>
    </row>
    <row r="687" spans="11:17" ht="12.75">
      <c r="K687" s="118"/>
      <c r="L687" s="118"/>
      <c r="M687" s="126"/>
      <c r="N687" s="126"/>
      <c r="O687" s="126"/>
      <c r="P687" s="135"/>
      <c r="Q687" s="135"/>
    </row>
    <row r="688" spans="11:17" ht="12.75">
      <c r="K688" s="118"/>
      <c r="L688" s="118"/>
      <c r="M688" s="126"/>
      <c r="N688" s="126"/>
      <c r="O688" s="126"/>
      <c r="P688" s="135"/>
      <c r="Q688" s="135"/>
    </row>
    <row r="689" spans="11:17" ht="12.75">
      <c r="K689" s="118"/>
      <c r="L689" s="118"/>
      <c r="M689" s="126"/>
      <c r="N689" s="126"/>
      <c r="O689" s="126"/>
      <c r="P689" s="135"/>
      <c r="Q689" s="135"/>
    </row>
    <row r="690" spans="11:17" ht="12.75">
      <c r="K690" s="118"/>
      <c r="L690" s="118"/>
      <c r="M690" s="126"/>
      <c r="N690" s="126"/>
      <c r="O690" s="126"/>
      <c r="P690" s="135"/>
      <c r="Q690" s="135"/>
    </row>
    <row r="691" spans="11:17" ht="12.75">
      <c r="K691" s="118"/>
      <c r="L691" s="118"/>
      <c r="M691" s="126"/>
      <c r="N691" s="126"/>
      <c r="O691" s="126"/>
      <c r="P691" s="135"/>
      <c r="Q691" s="135"/>
    </row>
    <row r="692" spans="11:17" ht="12.75">
      <c r="K692" s="118"/>
      <c r="L692" s="118"/>
      <c r="M692" s="126"/>
      <c r="N692" s="126"/>
      <c r="O692" s="126"/>
      <c r="P692" s="135"/>
      <c r="Q692" s="135"/>
    </row>
    <row r="693" spans="11:17" ht="12.75">
      <c r="K693" s="118"/>
      <c r="L693" s="118"/>
      <c r="M693" s="126"/>
      <c r="N693" s="126"/>
      <c r="O693" s="126"/>
      <c r="P693" s="135"/>
      <c r="Q693" s="135"/>
    </row>
    <row r="694" spans="11:17" ht="12.75">
      <c r="K694" s="118"/>
      <c r="L694" s="118"/>
      <c r="M694" s="126"/>
      <c r="N694" s="126"/>
      <c r="O694" s="126"/>
      <c r="P694" s="135"/>
      <c r="Q694" s="135"/>
    </row>
    <row r="695" spans="11:17" ht="12.75">
      <c r="K695" s="118"/>
      <c r="L695" s="118"/>
      <c r="M695" s="126"/>
      <c r="N695" s="126"/>
      <c r="O695" s="126"/>
      <c r="P695" s="135"/>
      <c r="Q695" s="135"/>
    </row>
    <row r="696" spans="11:17" ht="12.75">
      <c r="K696" s="118"/>
      <c r="L696" s="118"/>
      <c r="M696" s="126"/>
      <c r="N696" s="126"/>
      <c r="O696" s="126"/>
      <c r="P696" s="135"/>
      <c r="Q696" s="135"/>
    </row>
    <row r="697" spans="11:17" ht="12.75">
      <c r="K697" s="118"/>
      <c r="L697" s="118"/>
      <c r="M697" s="126"/>
      <c r="N697" s="126"/>
      <c r="O697" s="126"/>
      <c r="P697" s="135"/>
      <c r="Q697" s="135"/>
    </row>
    <row r="698" spans="11:17" ht="12.75">
      <c r="K698" s="118"/>
      <c r="L698" s="118"/>
      <c r="M698" s="126"/>
      <c r="N698" s="126"/>
      <c r="O698" s="126"/>
      <c r="P698" s="135"/>
      <c r="Q698" s="135"/>
    </row>
    <row r="699" spans="11:17" ht="12.75">
      <c r="K699" s="118"/>
      <c r="L699" s="118"/>
      <c r="M699" s="126"/>
      <c r="N699" s="126"/>
      <c r="O699" s="126"/>
      <c r="P699" s="135"/>
      <c r="Q699" s="135"/>
    </row>
    <row r="700" spans="11:17" ht="12.75">
      <c r="K700" s="118"/>
      <c r="L700" s="118"/>
      <c r="M700" s="126"/>
      <c r="N700" s="126"/>
      <c r="O700" s="126"/>
      <c r="P700" s="135"/>
      <c r="Q700" s="135"/>
    </row>
    <row r="701" spans="11:17" ht="12.75">
      <c r="K701" s="118"/>
      <c r="L701" s="118"/>
      <c r="M701" s="126"/>
      <c r="N701" s="126"/>
      <c r="O701" s="126"/>
      <c r="P701" s="135"/>
      <c r="Q701" s="135"/>
    </row>
    <row r="702" spans="11:17" ht="12.75">
      <c r="K702" s="118"/>
      <c r="L702" s="118"/>
      <c r="M702" s="126"/>
      <c r="N702" s="126"/>
      <c r="O702" s="126"/>
      <c r="P702" s="135"/>
      <c r="Q702" s="135"/>
    </row>
    <row r="703" spans="11:17" ht="12.75">
      <c r="K703" s="118"/>
      <c r="L703" s="118"/>
      <c r="M703" s="126"/>
      <c r="N703" s="126"/>
      <c r="O703" s="126"/>
      <c r="P703" s="135"/>
      <c r="Q703" s="135"/>
    </row>
    <row r="704" spans="11:17" ht="12.75">
      <c r="K704" s="118"/>
      <c r="L704" s="118"/>
      <c r="M704" s="126"/>
      <c r="N704" s="126"/>
      <c r="O704" s="126"/>
      <c r="P704" s="135"/>
      <c r="Q704" s="135"/>
    </row>
    <row r="705" spans="11:17" ht="12.75">
      <c r="K705" s="118"/>
      <c r="L705" s="118"/>
      <c r="M705" s="126"/>
      <c r="N705" s="126"/>
      <c r="O705" s="126"/>
      <c r="P705" s="135"/>
      <c r="Q705" s="135"/>
    </row>
    <row r="706" spans="11:17" ht="12.75">
      <c r="K706" s="118"/>
      <c r="L706" s="118"/>
      <c r="M706" s="126"/>
      <c r="N706" s="126"/>
      <c r="O706" s="126"/>
      <c r="P706" s="135"/>
      <c r="Q706" s="135"/>
    </row>
    <row r="707" spans="11:17" ht="12.75">
      <c r="K707" s="118"/>
      <c r="L707" s="118"/>
      <c r="M707" s="126"/>
      <c r="N707" s="126"/>
      <c r="O707" s="126"/>
      <c r="P707" s="135"/>
      <c r="Q707" s="135"/>
    </row>
    <row r="708" spans="11:17" ht="12.75">
      <c r="K708" s="118"/>
      <c r="L708" s="118"/>
      <c r="M708" s="126"/>
      <c r="N708" s="126"/>
      <c r="O708" s="126"/>
      <c r="P708" s="135"/>
      <c r="Q708" s="135"/>
    </row>
    <row r="709" spans="11:17" ht="12.75">
      <c r="K709" s="118"/>
      <c r="L709" s="118"/>
      <c r="M709" s="126"/>
      <c r="N709" s="126"/>
      <c r="O709" s="126"/>
      <c r="P709" s="135"/>
      <c r="Q709" s="135"/>
    </row>
    <row r="710" spans="11:17" ht="12.75">
      <c r="K710" s="118"/>
      <c r="L710" s="118"/>
      <c r="M710" s="126"/>
      <c r="N710" s="126"/>
      <c r="O710" s="126"/>
      <c r="P710" s="135"/>
      <c r="Q710" s="135"/>
    </row>
    <row r="711" spans="11:17" ht="12.75">
      <c r="K711" s="118"/>
      <c r="L711" s="118"/>
      <c r="M711" s="126"/>
      <c r="N711" s="126"/>
      <c r="O711" s="126"/>
      <c r="P711" s="135"/>
      <c r="Q711" s="135"/>
    </row>
    <row r="712" spans="11:17" ht="12.75">
      <c r="K712" s="118"/>
      <c r="L712" s="118"/>
      <c r="M712" s="126"/>
      <c r="N712" s="126"/>
      <c r="O712" s="126"/>
      <c r="P712" s="135"/>
      <c r="Q712" s="135"/>
    </row>
    <row r="713" spans="11:17" ht="12.75">
      <c r="K713" s="118"/>
      <c r="L713" s="118"/>
      <c r="M713" s="126"/>
      <c r="N713" s="126"/>
      <c r="O713" s="126"/>
      <c r="P713" s="135"/>
      <c r="Q713" s="135"/>
    </row>
    <row r="714" spans="11:17" ht="12.75">
      <c r="K714" s="118"/>
      <c r="L714" s="118"/>
      <c r="M714" s="126"/>
      <c r="N714" s="126"/>
      <c r="O714" s="126"/>
      <c r="P714" s="135"/>
      <c r="Q714" s="135"/>
    </row>
    <row r="715" spans="11:17" ht="12.75">
      <c r="K715" s="118"/>
      <c r="L715" s="118"/>
      <c r="M715" s="126"/>
      <c r="N715" s="126"/>
      <c r="O715" s="126"/>
      <c r="P715" s="135"/>
      <c r="Q715" s="135"/>
    </row>
    <row r="716" spans="11:17" ht="12.75">
      <c r="K716" s="118"/>
      <c r="L716" s="118"/>
      <c r="M716" s="126"/>
      <c r="N716" s="126"/>
      <c r="O716" s="126"/>
      <c r="P716" s="135"/>
      <c r="Q716" s="135"/>
    </row>
    <row r="717" spans="11:17" ht="12.75">
      <c r="K717" s="118"/>
      <c r="L717" s="118"/>
      <c r="M717" s="126"/>
      <c r="N717" s="126"/>
      <c r="O717" s="126"/>
      <c r="P717" s="135"/>
      <c r="Q717" s="135"/>
    </row>
    <row r="718" spans="11:17" ht="12.75">
      <c r="K718" s="118"/>
      <c r="L718" s="118"/>
      <c r="M718" s="126"/>
      <c r="N718" s="126"/>
      <c r="O718" s="126"/>
      <c r="P718" s="135"/>
      <c r="Q718" s="135"/>
    </row>
    <row r="719" spans="11:17" ht="12.75">
      <c r="K719" s="118"/>
      <c r="L719" s="118"/>
      <c r="M719" s="126"/>
      <c r="N719" s="126"/>
      <c r="O719" s="126"/>
      <c r="P719" s="135"/>
      <c r="Q719" s="135"/>
    </row>
    <row r="720" spans="11:17" ht="12.75">
      <c r="K720" s="118"/>
      <c r="L720" s="118"/>
      <c r="M720" s="126"/>
      <c r="N720" s="126"/>
      <c r="O720" s="126"/>
      <c r="P720" s="135"/>
      <c r="Q720" s="135"/>
    </row>
    <row r="721" spans="11:17" ht="12.75">
      <c r="K721" s="118"/>
      <c r="L721" s="118"/>
      <c r="M721" s="126"/>
      <c r="N721" s="126"/>
      <c r="O721" s="126"/>
      <c r="P721" s="135"/>
      <c r="Q721" s="135"/>
    </row>
    <row r="722" spans="11:17" ht="12.75">
      <c r="K722" s="118"/>
      <c r="L722" s="118"/>
      <c r="M722" s="126"/>
      <c r="N722" s="126"/>
      <c r="O722" s="126"/>
      <c r="P722" s="135"/>
      <c r="Q722" s="135"/>
    </row>
    <row r="723" spans="11:17" ht="12.75">
      <c r="K723" s="118"/>
      <c r="L723" s="118"/>
      <c r="M723" s="126"/>
      <c r="N723" s="126"/>
      <c r="O723" s="126"/>
      <c r="P723" s="135"/>
      <c r="Q723" s="135"/>
    </row>
    <row r="724" spans="11:17" ht="12.75">
      <c r="K724" s="118"/>
      <c r="L724" s="118"/>
      <c r="M724" s="126"/>
      <c r="N724" s="126"/>
      <c r="O724" s="126"/>
      <c r="P724" s="135"/>
      <c r="Q724" s="135"/>
    </row>
    <row r="725" spans="11:17" ht="12.75">
      <c r="K725" s="118"/>
      <c r="L725" s="118"/>
      <c r="M725" s="126"/>
      <c r="N725" s="126"/>
      <c r="O725" s="126"/>
      <c r="P725" s="135"/>
      <c r="Q725" s="135"/>
    </row>
    <row r="726" spans="11:17" ht="12.75">
      <c r="K726" s="118"/>
      <c r="L726" s="118"/>
      <c r="M726" s="126"/>
      <c r="N726" s="126"/>
      <c r="O726" s="126"/>
      <c r="P726" s="135"/>
      <c r="Q726" s="135"/>
    </row>
    <row r="727" spans="11:17" ht="12.75">
      <c r="K727" s="118"/>
      <c r="L727" s="118"/>
      <c r="M727" s="126"/>
      <c r="N727" s="126"/>
      <c r="O727" s="126"/>
      <c r="P727" s="135"/>
      <c r="Q727" s="135"/>
    </row>
    <row r="728" spans="11:17" ht="12.75">
      <c r="K728" s="118"/>
      <c r="L728" s="118"/>
      <c r="M728" s="126"/>
      <c r="N728" s="126"/>
      <c r="O728" s="126"/>
      <c r="P728" s="135"/>
      <c r="Q728" s="135"/>
    </row>
    <row r="729" spans="11:17" ht="12.75">
      <c r="K729" s="118"/>
      <c r="L729" s="118"/>
      <c r="M729" s="126"/>
      <c r="N729" s="126"/>
      <c r="O729" s="126"/>
      <c r="P729" s="135"/>
      <c r="Q729" s="135"/>
    </row>
    <row r="730" spans="11:17" ht="12.75">
      <c r="K730" s="118"/>
      <c r="L730" s="118"/>
      <c r="M730" s="126"/>
      <c r="N730" s="126"/>
      <c r="O730" s="126"/>
      <c r="P730" s="135"/>
      <c r="Q730" s="135"/>
    </row>
    <row r="731" spans="11:17" ht="12.75">
      <c r="K731" s="118"/>
      <c r="L731" s="118"/>
      <c r="M731" s="126"/>
      <c r="N731" s="126"/>
      <c r="O731" s="126"/>
      <c r="P731" s="135"/>
      <c r="Q731" s="135"/>
    </row>
    <row r="732" spans="11:17" ht="12.75">
      <c r="K732" s="118"/>
      <c r="L732" s="118"/>
      <c r="M732" s="126"/>
      <c r="N732" s="126"/>
      <c r="O732" s="126"/>
      <c r="P732" s="135"/>
      <c r="Q732" s="135"/>
    </row>
    <row r="733" spans="11:17" ht="12.75">
      <c r="K733" s="118"/>
      <c r="L733" s="118"/>
      <c r="M733" s="126"/>
      <c r="N733" s="126"/>
      <c r="O733" s="126"/>
      <c r="P733" s="135"/>
      <c r="Q733" s="135"/>
    </row>
    <row r="734" spans="11:17" ht="12.75">
      <c r="K734" s="118"/>
      <c r="L734" s="118"/>
      <c r="M734" s="126"/>
      <c r="N734" s="126"/>
      <c r="O734" s="126"/>
      <c r="P734" s="135"/>
      <c r="Q734" s="135"/>
    </row>
    <row r="735" spans="11:17" ht="12.75">
      <c r="K735" s="118"/>
      <c r="L735" s="118"/>
      <c r="M735" s="126"/>
      <c r="N735" s="126"/>
      <c r="O735" s="126"/>
      <c r="P735" s="135"/>
      <c r="Q735" s="135"/>
    </row>
    <row r="736" spans="11:17" ht="12.75">
      <c r="K736" s="118"/>
      <c r="L736" s="118"/>
      <c r="M736" s="126"/>
      <c r="N736" s="126"/>
      <c r="O736" s="126"/>
      <c r="P736" s="135"/>
      <c r="Q736" s="135"/>
    </row>
    <row r="737" spans="11:17" ht="12.75">
      <c r="K737" s="118"/>
      <c r="L737" s="118"/>
      <c r="M737" s="126"/>
      <c r="N737" s="126"/>
      <c r="O737" s="126"/>
      <c r="P737" s="135"/>
      <c r="Q737" s="135"/>
    </row>
    <row r="738" spans="11:17" ht="12.75">
      <c r="K738" s="118"/>
      <c r="L738" s="118"/>
      <c r="M738" s="126"/>
      <c r="N738" s="126"/>
      <c r="O738" s="126"/>
      <c r="P738" s="135"/>
      <c r="Q738" s="135"/>
    </row>
    <row r="739" spans="11:17" ht="12.75">
      <c r="K739" s="118"/>
      <c r="L739" s="118"/>
      <c r="M739" s="126"/>
      <c r="N739" s="126"/>
      <c r="O739" s="126"/>
      <c r="P739" s="135"/>
      <c r="Q739" s="135"/>
    </row>
    <row r="740" spans="11:17" ht="12.75">
      <c r="K740" s="118"/>
      <c r="L740" s="118"/>
      <c r="M740" s="126"/>
      <c r="N740" s="126"/>
      <c r="O740" s="126"/>
      <c r="P740" s="135"/>
      <c r="Q740" s="135"/>
    </row>
    <row r="741" spans="11:17" ht="12.75">
      <c r="K741" s="118"/>
      <c r="L741" s="118"/>
      <c r="M741" s="126"/>
      <c r="N741" s="126"/>
      <c r="O741" s="126"/>
      <c r="P741" s="135"/>
      <c r="Q741" s="135"/>
    </row>
    <row r="742" spans="11:17" ht="12.75">
      <c r="K742" s="118"/>
      <c r="L742" s="118"/>
      <c r="M742" s="126"/>
      <c r="N742" s="126"/>
      <c r="O742" s="126"/>
      <c r="P742" s="135"/>
      <c r="Q742" s="135"/>
    </row>
    <row r="743" spans="11:17" ht="12.75">
      <c r="K743" s="118"/>
      <c r="L743" s="118"/>
      <c r="M743" s="126"/>
      <c r="N743" s="126"/>
      <c r="O743" s="126"/>
      <c r="P743" s="135"/>
      <c r="Q743" s="135"/>
    </row>
    <row r="744" spans="11:17" ht="12.75">
      <c r="K744" s="118"/>
      <c r="L744" s="118"/>
      <c r="M744" s="126"/>
      <c r="N744" s="126"/>
      <c r="O744" s="126"/>
      <c r="P744" s="135"/>
      <c r="Q744" s="135"/>
    </row>
    <row r="745" spans="11:17" ht="12.75">
      <c r="K745" s="118"/>
      <c r="L745" s="118"/>
      <c r="M745" s="126"/>
      <c r="N745" s="126"/>
      <c r="O745" s="126"/>
      <c r="P745" s="135"/>
      <c r="Q745" s="135"/>
    </row>
    <row r="746" spans="11:17" ht="12.75">
      <c r="K746" s="118"/>
      <c r="L746" s="118"/>
      <c r="M746" s="126"/>
      <c r="N746" s="126"/>
      <c r="O746" s="126"/>
      <c r="P746" s="135"/>
      <c r="Q746" s="135"/>
    </row>
    <row r="747" spans="11:17" ht="12.75">
      <c r="K747" s="118"/>
      <c r="L747" s="118"/>
      <c r="M747" s="126"/>
      <c r="N747" s="126"/>
      <c r="O747" s="126"/>
      <c r="P747" s="135"/>
      <c r="Q747" s="135"/>
    </row>
    <row r="748" spans="11:17" ht="12.75">
      <c r="K748" s="118"/>
      <c r="L748" s="118"/>
      <c r="M748" s="126"/>
      <c r="N748" s="126"/>
      <c r="O748" s="126"/>
      <c r="P748" s="135"/>
      <c r="Q748" s="135"/>
    </row>
    <row r="749" spans="11:17" ht="12.75">
      <c r="K749" s="118"/>
      <c r="L749" s="118"/>
      <c r="M749" s="126"/>
      <c r="N749" s="126"/>
      <c r="O749" s="126"/>
      <c r="P749" s="135"/>
      <c r="Q749" s="135"/>
    </row>
    <row r="750" spans="11:17" ht="12.75">
      <c r="K750" s="118"/>
      <c r="L750" s="118"/>
      <c r="M750" s="126"/>
      <c r="N750" s="126"/>
      <c r="O750" s="126"/>
      <c r="P750" s="135"/>
      <c r="Q750" s="135"/>
    </row>
    <row r="751" spans="11:17" ht="12.75">
      <c r="K751" s="118"/>
      <c r="L751" s="118"/>
      <c r="M751" s="126"/>
      <c r="N751" s="126"/>
      <c r="O751" s="126"/>
      <c r="P751" s="135"/>
      <c r="Q751" s="135"/>
    </row>
    <row r="752" spans="11:17" ht="12.75">
      <c r="K752" s="118"/>
      <c r="L752" s="118"/>
      <c r="M752" s="126"/>
      <c r="N752" s="126"/>
      <c r="O752" s="126"/>
      <c r="P752" s="135"/>
      <c r="Q752" s="135"/>
    </row>
    <row r="753" spans="11:17" ht="12.75">
      <c r="K753" s="118"/>
      <c r="L753" s="118"/>
      <c r="M753" s="126"/>
      <c r="N753" s="126"/>
      <c r="O753" s="126"/>
      <c r="P753" s="135"/>
      <c r="Q753" s="135"/>
    </row>
    <row r="754" spans="11:17" ht="12.75">
      <c r="K754" s="118"/>
      <c r="L754" s="118"/>
      <c r="M754" s="126"/>
      <c r="N754" s="126"/>
      <c r="O754" s="126"/>
      <c r="P754" s="135"/>
      <c r="Q754" s="135"/>
    </row>
    <row r="755" spans="11:17" ht="12.75">
      <c r="K755" s="118"/>
      <c r="L755" s="118"/>
      <c r="M755" s="126"/>
      <c r="N755" s="126"/>
      <c r="O755" s="126"/>
      <c r="P755" s="135"/>
      <c r="Q755" s="135"/>
    </row>
    <row r="756" spans="11:17" ht="12.75">
      <c r="K756" s="118"/>
      <c r="L756" s="118"/>
      <c r="M756" s="126"/>
      <c r="N756" s="126"/>
      <c r="O756" s="126"/>
      <c r="P756" s="135"/>
      <c r="Q756" s="135"/>
    </row>
    <row r="757" spans="11:17" ht="12.75">
      <c r="K757" s="118"/>
      <c r="L757" s="118"/>
      <c r="M757" s="126"/>
      <c r="N757" s="126"/>
      <c r="O757" s="126"/>
      <c r="P757" s="135"/>
      <c r="Q757" s="135"/>
    </row>
    <row r="758" spans="11:17" ht="12.75">
      <c r="K758" s="118"/>
      <c r="L758" s="118"/>
      <c r="M758" s="126"/>
      <c r="N758" s="126"/>
      <c r="O758" s="126"/>
      <c r="P758" s="135"/>
      <c r="Q758" s="135"/>
    </row>
    <row r="759" spans="11:17" ht="12.75">
      <c r="K759" s="118"/>
      <c r="L759" s="118"/>
      <c r="M759" s="126"/>
      <c r="N759" s="126"/>
      <c r="O759" s="126"/>
      <c r="P759" s="135"/>
      <c r="Q759" s="135"/>
    </row>
    <row r="760" spans="11:17" ht="12.75">
      <c r="K760" s="118"/>
      <c r="L760" s="118"/>
      <c r="M760" s="126"/>
      <c r="N760" s="126"/>
      <c r="O760" s="126"/>
      <c r="P760" s="135"/>
      <c r="Q760" s="135"/>
    </row>
    <row r="761" spans="11:17" ht="12.75">
      <c r="K761" s="118"/>
      <c r="L761" s="118"/>
      <c r="M761" s="126"/>
      <c r="N761" s="126"/>
      <c r="O761" s="126"/>
      <c r="P761" s="135"/>
      <c r="Q761" s="135"/>
    </row>
    <row r="762" spans="11:17" ht="12.75">
      <c r="K762" s="118"/>
      <c r="L762" s="118"/>
      <c r="M762" s="126"/>
      <c r="N762" s="126"/>
      <c r="O762" s="126"/>
      <c r="P762" s="135"/>
      <c r="Q762" s="135"/>
    </row>
    <row r="763" spans="11:17" ht="12.75">
      <c r="K763" s="118"/>
      <c r="L763" s="118"/>
      <c r="M763" s="126"/>
      <c r="N763" s="126"/>
      <c r="O763" s="126"/>
      <c r="P763" s="135"/>
      <c r="Q763" s="135"/>
    </row>
    <row r="764" spans="11:17" ht="12.75">
      <c r="K764" s="118"/>
      <c r="L764" s="118"/>
      <c r="M764" s="126"/>
      <c r="N764" s="126"/>
      <c r="O764" s="126"/>
      <c r="P764" s="135"/>
      <c r="Q764" s="135"/>
    </row>
    <row r="765" spans="11:17" ht="12.75">
      <c r="K765" s="118"/>
      <c r="L765" s="118"/>
      <c r="M765" s="126"/>
      <c r="N765" s="126"/>
      <c r="O765" s="126"/>
      <c r="P765" s="135"/>
      <c r="Q765" s="135"/>
    </row>
    <row r="766" spans="11:17" ht="12.75">
      <c r="K766" s="118"/>
      <c r="L766" s="118"/>
      <c r="M766" s="126"/>
      <c r="N766" s="126"/>
      <c r="O766" s="126"/>
      <c r="P766" s="135"/>
      <c r="Q766" s="135"/>
    </row>
    <row r="767" spans="11:17" ht="12.75">
      <c r="K767" s="118"/>
      <c r="L767" s="118"/>
      <c r="M767" s="126"/>
      <c r="N767" s="126"/>
      <c r="O767" s="126"/>
      <c r="P767" s="135"/>
      <c r="Q767" s="135"/>
    </row>
    <row r="768" spans="11:17" ht="12.75">
      <c r="K768" s="118"/>
      <c r="L768" s="118"/>
      <c r="M768" s="126"/>
      <c r="N768" s="126"/>
      <c r="O768" s="126"/>
      <c r="P768" s="135"/>
      <c r="Q768" s="135"/>
    </row>
    <row r="769" spans="11:17" ht="12.75">
      <c r="K769" s="118"/>
      <c r="L769" s="118"/>
      <c r="M769" s="126"/>
      <c r="N769" s="126"/>
      <c r="O769" s="126"/>
      <c r="P769" s="135"/>
      <c r="Q769" s="135"/>
    </row>
    <row r="770" spans="11:17" ht="12.75">
      <c r="K770" s="118"/>
      <c r="L770" s="118"/>
      <c r="M770" s="126"/>
      <c r="N770" s="126"/>
      <c r="O770" s="126"/>
      <c r="P770" s="135"/>
      <c r="Q770" s="135"/>
    </row>
    <row r="771" spans="11:17" ht="12.75">
      <c r="K771" s="118"/>
      <c r="L771" s="118"/>
      <c r="M771" s="126"/>
      <c r="N771" s="126"/>
      <c r="O771" s="126"/>
      <c r="P771" s="135"/>
      <c r="Q771" s="135"/>
    </row>
    <row r="772" spans="11:17" ht="12.75">
      <c r="K772" s="118"/>
      <c r="L772" s="118"/>
      <c r="M772" s="126"/>
      <c r="N772" s="126"/>
      <c r="O772" s="126"/>
      <c r="P772" s="135"/>
      <c r="Q772" s="135"/>
    </row>
    <row r="773" spans="11:17" ht="12.75">
      <c r="K773" s="118"/>
      <c r="L773" s="118"/>
      <c r="M773" s="126"/>
      <c r="N773" s="126"/>
      <c r="O773" s="126"/>
      <c r="P773" s="135"/>
      <c r="Q773" s="135"/>
    </row>
    <row r="774" spans="11:17" ht="12.75">
      <c r="K774" s="118"/>
      <c r="L774" s="118"/>
      <c r="M774" s="126"/>
      <c r="N774" s="126"/>
      <c r="O774" s="126"/>
      <c r="P774" s="135"/>
      <c r="Q774" s="135"/>
    </row>
    <row r="775" spans="11:17" ht="12.75">
      <c r="K775" s="118"/>
      <c r="L775" s="118"/>
      <c r="M775" s="126"/>
      <c r="N775" s="126"/>
      <c r="O775" s="126"/>
      <c r="P775" s="135"/>
      <c r="Q775" s="135"/>
    </row>
    <row r="776" spans="11:17" ht="12.75">
      <c r="K776" s="118"/>
      <c r="L776" s="118"/>
      <c r="M776" s="126"/>
      <c r="N776" s="126"/>
      <c r="O776" s="126"/>
      <c r="P776" s="135"/>
      <c r="Q776" s="135"/>
    </row>
    <row r="777" spans="11:17" ht="12.75">
      <c r="K777" s="118"/>
      <c r="L777" s="118"/>
      <c r="M777" s="126"/>
      <c r="N777" s="126"/>
      <c r="O777" s="126"/>
      <c r="P777" s="135"/>
      <c r="Q777" s="135"/>
    </row>
    <row r="778" spans="11:17" ht="12.75">
      <c r="K778" s="118"/>
      <c r="L778" s="118"/>
      <c r="M778" s="126"/>
      <c r="N778" s="126"/>
      <c r="O778" s="126"/>
      <c r="P778" s="135"/>
      <c r="Q778" s="135"/>
    </row>
    <row r="779" spans="11:17" ht="12.75">
      <c r="K779" s="118"/>
      <c r="L779" s="118"/>
      <c r="M779" s="126"/>
      <c r="N779" s="126"/>
      <c r="O779" s="126"/>
      <c r="P779" s="135"/>
      <c r="Q779" s="135"/>
    </row>
    <row r="780" spans="11:17" ht="12.75">
      <c r="K780" s="118"/>
      <c r="L780" s="118"/>
      <c r="M780" s="126"/>
      <c r="N780" s="126"/>
      <c r="O780" s="126"/>
      <c r="P780" s="135"/>
      <c r="Q780" s="135"/>
    </row>
    <row r="781" spans="11:17" ht="12.75">
      <c r="K781" s="118"/>
      <c r="L781" s="118"/>
      <c r="M781" s="126"/>
      <c r="N781" s="126"/>
      <c r="O781" s="126"/>
      <c r="P781" s="135"/>
      <c r="Q781" s="135"/>
    </row>
    <row r="782" spans="11:17" ht="12.75">
      <c r="K782" s="118"/>
      <c r="L782" s="118"/>
      <c r="M782" s="126"/>
      <c r="N782" s="126"/>
      <c r="O782" s="126"/>
      <c r="P782" s="135"/>
      <c r="Q782" s="135"/>
    </row>
    <row r="783" spans="11:17" ht="12.75">
      <c r="K783" s="118"/>
      <c r="L783" s="118"/>
      <c r="M783" s="126"/>
      <c r="N783" s="126"/>
      <c r="O783" s="126"/>
      <c r="P783" s="135"/>
      <c r="Q783" s="135"/>
    </row>
    <row r="784" spans="11:17" ht="12.75">
      <c r="K784" s="118"/>
      <c r="L784" s="118"/>
      <c r="M784" s="126"/>
      <c r="N784" s="126"/>
      <c r="O784" s="126"/>
      <c r="P784" s="135"/>
      <c r="Q784" s="135"/>
    </row>
    <row r="785" spans="11:17" ht="12.75">
      <c r="K785" s="118"/>
      <c r="L785" s="118"/>
      <c r="M785" s="126"/>
      <c r="N785" s="126"/>
      <c r="O785" s="126"/>
      <c r="P785" s="135"/>
      <c r="Q785" s="135"/>
    </row>
    <row r="786" spans="11:17" ht="12.75">
      <c r="K786" s="118"/>
      <c r="L786" s="118"/>
      <c r="M786" s="126"/>
      <c r="N786" s="126"/>
      <c r="O786" s="126"/>
      <c r="P786" s="135"/>
      <c r="Q786" s="135"/>
    </row>
    <row r="787" spans="11:17" ht="12.75">
      <c r="K787" s="118"/>
      <c r="L787" s="118"/>
      <c r="M787" s="126"/>
      <c r="N787" s="126"/>
      <c r="O787" s="126"/>
      <c r="P787" s="135"/>
      <c r="Q787" s="135"/>
    </row>
    <row r="788" spans="11:17" ht="12.75">
      <c r="K788" s="118"/>
      <c r="L788" s="118"/>
      <c r="M788" s="126"/>
      <c r="N788" s="126"/>
      <c r="O788" s="126"/>
      <c r="P788" s="135"/>
      <c r="Q788" s="135"/>
    </row>
    <row r="789" spans="11:17" ht="12.75">
      <c r="K789" s="118"/>
      <c r="L789" s="118"/>
      <c r="M789" s="126"/>
      <c r="N789" s="126"/>
      <c r="O789" s="126"/>
      <c r="P789" s="135"/>
      <c r="Q789" s="135"/>
    </row>
    <row r="790" spans="11:17" ht="12.75">
      <c r="K790" s="118"/>
      <c r="L790" s="118"/>
      <c r="M790" s="126"/>
      <c r="N790" s="126"/>
      <c r="O790" s="126"/>
      <c r="P790" s="135"/>
      <c r="Q790" s="135"/>
    </row>
    <row r="791" spans="11:17" ht="12.75">
      <c r="K791" s="118"/>
      <c r="L791" s="118"/>
      <c r="M791" s="126"/>
      <c r="N791" s="126"/>
      <c r="O791" s="126"/>
      <c r="P791" s="135"/>
      <c r="Q791" s="135"/>
    </row>
    <row r="792" spans="11:17" ht="12.75">
      <c r="K792" s="118"/>
      <c r="L792" s="118"/>
      <c r="M792" s="126"/>
      <c r="N792" s="126"/>
      <c r="O792" s="126"/>
      <c r="P792" s="135"/>
      <c r="Q792" s="135"/>
    </row>
    <row r="793" spans="11:17" ht="12.75">
      <c r="K793" s="118"/>
      <c r="L793" s="118"/>
      <c r="M793" s="126"/>
      <c r="N793" s="126"/>
      <c r="O793" s="126"/>
      <c r="P793" s="135"/>
      <c r="Q793" s="135"/>
    </row>
    <row r="794" spans="11:17" ht="12.75">
      <c r="K794" s="118"/>
      <c r="L794" s="118"/>
      <c r="M794" s="126"/>
      <c r="N794" s="126"/>
      <c r="O794" s="126"/>
      <c r="P794" s="135"/>
      <c r="Q794" s="135"/>
    </row>
    <row r="795" spans="11:17" ht="12.75">
      <c r="K795" s="118"/>
      <c r="L795" s="118"/>
      <c r="M795" s="126"/>
      <c r="N795" s="126"/>
      <c r="O795" s="126"/>
      <c r="P795" s="135"/>
      <c r="Q795" s="135"/>
    </row>
    <row r="796" spans="11:17" ht="12.75">
      <c r="K796" s="118"/>
      <c r="L796" s="118"/>
      <c r="M796" s="126"/>
      <c r="N796" s="126"/>
      <c r="O796" s="126"/>
      <c r="P796" s="135"/>
      <c r="Q796" s="135"/>
    </row>
    <row r="797" spans="11:17" ht="12.75">
      <c r="K797" s="118"/>
      <c r="L797" s="118"/>
      <c r="M797" s="126"/>
      <c r="N797" s="126"/>
      <c r="O797" s="126"/>
      <c r="P797" s="135"/>
      <c r="Q797" s="135"/>
    </row>
    <row r="798" spans="11:17" ht="12.75">
      <c r="K798" s="118"/>
      <c r="L798" s="118"/>
      <c r="M798" s="126"/>
      <c r="N798" s="126"/>
      <c r="O798" s="126"/>
      <c r="P798" s="135"/>
      <c r="Q798" s="135"/>
    </row>
    <row r="799" spans="11:17" ht="12.75">
      <c r="K799" s="118"/>
      <c r="L799" s="118"/>
      <c r="M799" s="126"/>
      <c r="N799" s="126"/>
      <c r="O799" s="126"/>
      <c r="P799" s="135"/>
      <c r="Q799" s="135"/>
    </row>
    <row r="800" spans="11:17" ht="12.75">
      <c r="K800" s="118"/>
      <c r="L800" s="118"/>
      <c r="M800" s="126"/>
      <c r="N800" s="126"/>
      <c r="O800" s="126"/>
      <c r="P800" s="135"/>
      <c r="Q800" s="135"/>
    </row>
    <row r="801" spans="11:17" ht="12.75">
      <c r="K801" s="118"/>
      <c r="L801" s="118"/>
      <c r="M801" s="126"/>
      <c r="N801" s="126"/>
      <c r="O801" s="126"/>
      <c r="P801" s="135"/>
      <c r="Q801" s="135"/>
    </row>
    <row r="802" spans="11:17" ht="12.75">
      <c r="K802" s="118"/>
      <c r="L802" s="118"/>
      <c r="M802" s="126"/>
      <c r="N802" s="126"/>
      <c r="O802" s="126"/>
      <c r="P802" s="135"/>
      <c r="Q802" s="135"/>
    </row>
    <row r="803" spans="11:17" ht="12.75">
      <c r="K803" s="118"/>
      <c r="L803" s="118"/>
      <c r="M803" s="126"/>
      <c r="N803" s="126"/>
      <c r="O803" s="126"/>
      <c r="P803" s="135"/>
      <c r="Q803" s="135"/>
    </row>
    <row r="804" spans="11:17" ht="12.75">
      <c r="K804" s="118"/>
      <c r="L804" s="118"/>
      <c r="M804" s="126"/>
      <c r="N804" s="126"/>
      <c r="O804" s="126"/>
      <c r="P804" s="135"/>
      <c r="Q804" s="135"/>
    </row>
    <row r="805" spans="11:17" ht="12.75">
      <c r="K805" s="118"/>
      <c r="L805" s="118"/>
      <c r="M805" s="126"/>
      <c r="N805" s="126"/>
      <c r="O805" s="126"/>
      <c r="P805" s="135"/>
      <c r="Q805" s="135"/>
    </row>
    <row r="806" spans="11:17" ht="12.75">
      <c r="K806" s="118"/>
      <c r="L806" s="118"/>
      <c r="M806" s="126"/>
      <c r="N806" s="126"/>
      <c r="O806" s="126"/>
      <c r="P806" s="135"/>
      <c r="Q806" s="135"/>
    </row>
    <row r="807" spans="11:17" ht="12.75">
      <c r="K807" s="118"/>
      <c r="L807" s="118"/>
      <c r="M807" s="126"/>
      <c r="N807" s="126"/>
      <c r="O807" s="126"/>
      <c r="P807" s="135"/>
      <c r="Q807" s="135"/>
    </row>
    <row r="808" spans="11:17" ht="12.75">
      <c r="K808" s="118"/>
      <c r="L808" s="118"/>
      <c r="M808" s="126"/>
      <c r="N808" s="126"/>
      <c r="O808" s="126"/>
      <c r="P808" s="135"/>
      <c r="Q808" s="135"/>
    </row>
    <row r="809" spans="11:17" ht="12.75">
      <c r="K809" s="118"/>
      <c r="L809" s="118"/>
      <c r="M809" s="126"/>
      <c r="N809" s="126"/>
      <c r="O809" s="126"/>
      <c r="P809" s="135"/>
      <c r="Q809" s="135"/>
    </row>
    <row r="810" spans="11:17" ht="12.75">
      <c r="K810" s="118"/>
      <c r="L810" s="118"/>
      <c r="M810" s="126"/>
      <c r="N810" s="126"/>
      <c r="O810" s="126"/>
      <c r="P810" s="135"/>
      <c r="Q810" s="135"/>
    </row>
    <row r="811" spans="11:17" ht="12.75">
      <c r="K811" s="118"/>
      <c r="L811" s="118"/>
      <c r="M811" s="126"/>
      <c r="N811" s="126"/>
      <c r="O811" s="126"/>
      <c r="P811" s="135"/>
      <c r="Q811" s="135"/>
    </row>
    <row r="812" spans="11:17" ht="12.75">
      <c r="K812" s="118"/>
      <c r="L812" s="118"/>
      <c r="M812" s="126"/>
      <c r="N812" s="126"/>
      <c r="O812" s="126"/>
      <c r="P812" s="135"/>
      <c r="Q812" s="135"/>
    </row>
    <row r="813" spans="11:17" ht="12.75">
      <c r="K813" s="118"/>
      <c r="L813" s="118"/>
      <c r="M813" s="126"/>
      <c r="N813" s="126"/>
      <c r="O813" s="126"/>
      <c r="P813" s="135"/>
      <c r="Q813" s="135"/>
    </row>
    <row r="814" spans="11:17" ht="12.75">
      <c r="K814" s="118"/>
      <c r="L814" s="118"/>
      <c r="M814" s="126"/>
      <c r="N814" s="126"/>
      <c r="O814" s="126"/>
      <c r="P814" s="135"/>
      <c r="Q814" s="135"/>
    </row>
    <row r="815" spans="11:17" ht="12.75">
      <c r="K815" s="118"/>
      <c r="L815" s="118"/>
      <c r="M815" s="126"/>
      <c r="N815" s="126"/>
      <c r="O815" s="126"/>
      <c r="P815" s="135"/>
      <c r="Q815" s="135"/>
    </row>
    <row r="816" spans="11:17" ht="12.75">
      <c r="K816" s="118"/>
      <c r="L816" s="118"/>
      <c r="M816" s="126"/>
      <c r="N816" s="126"/>
      <c r="O816" s="126"/>
      <c r="P816" s="135"/>
      <c r="Q816" s="135"/>
    </row>
    <row r="817" spans="11:17" ht="12.75">
      <c r="K817" s="118"/>
      <c r="L817" s="118"/>
      <c r="M817" s="126"/>
      <c r="N817" s="126"/>
      <c r="O817" s="126"/>
      <c r="P817" s="135"/>
      <c r="Q817" s="135"/>
    </row>
    <row r="818" spans="11:17" ht="12.75">
      <c r="K818" s="118"/>
      <c r="L818" s="118"/>
      <c r="M818" s="126"/>
      <c r="N818" s="126"/>
      <c r="O818" s="126"/>
      <c r="P818" s="135"/>
      <c r="Q818" s="135"/>
    </row>
    <row r="819" spans="11:17" ht="12.75">
      <c r="K819" s="118"/>
      <c r="L819" s="118"/>
      <c r="M819" s="126"/>
      <c r="N819" s="126"/>
      <c r="O819" s="126"/>
      <c r="P819" s="135"/>
      <c r="Q819" s="135"/>
    </row>
    <row r="820" spans="11:17" ht="12.75">
      <c r="K820" s="118"/>
      <c r="L820" s="118"/>
      <c r="M820" s="126"/>
      <c r="N820" s="126"/>
      <c r="O820" s="126"/>
      <c r="P820" s="135"/>
      <c r="Q820" s="135"/>
    </row>
    <row r="821" spans="11:17" ht="12.75">
      <c r="K821" s="118"/>
      <c r="L821" s="118"/>
      <c r="M821" s="126"/>
      <c r="N821" s="126"/>
      <c r="O821" s="126"/>
      <c r="P821" s="135"/>
      <c r="Q821" s="135"/>
    </row>
    <row r="822" spans="11:17" ht="12.75">
      <c r="K822" s="118"/>
      <c r="L822" s="118"/>
      <c r="M822" s="126"/>
      <c r="N822" s="126"/>
      <c r="O822" s="126"/>
      <c r="P822" s="135"/>
      <c r="Q822" s="135"/>
    </row>
    <row r="823" spans="11:17" ht="12.75">
      <c r="K823" s="118"/>
      <c r="L823" s="118"/>
      <c r="M823" s="126"/>
      <c r="N823" s="126"/>
      <c r="O823" s="126"/>
      <c r="P823" s="135"/>
      <c r="Q823" s="135"/>
    </row>
    <row r="824" spans="11:17" ht="12.75">
      <c r="K824" s="118"/>
      <c r="L824" s="118"/>
      <c r="M824" s="126"/>
      <c r="N824" s="126"/>
      <c r="O824" s="126"/>
      <c r="P824" s="135"/>
      <c r="Q824" s="135"/>
    </row>
    <row r="825" spans="11:17" ht="12.75">
      <c r="K825" s="118"/>
      <c r="L825" s="118"/>
      <c r="M825" s="126"/>
      <c r="N825" s="126"/>
      <c r="O825" s="126"/>
      <c r="P825" s="135"/>
      <c r="Q825" s="135"/>
    </row>
    <row r="826" spans="11:17" ht="12.75">
      <c r="K826" s="118"/>
      <c r="L826" s="118"/>
      <c r="M826" s="126"/>
      <c r="N826" s="126"/>
      <c r="O826" s="126"/>
      <c r="P826" s="135"/>
      <c r="Q826" s="135"/>
    </row>
    <row r="827" spans="11:17" ht="12.75">
      <c r="K827" s="118"/>
      <c r="L827" s="118"/>
      <c r="M827" s="126"/>
      <c r="N827" s="126"/>
      <c r="O827" s="126"/>
      <c r="P827" s="135"/>
      <c r="Q827" s="135"/>
    </row>
    <row r="828" spans="11:17" ht="12.75">
      <c r="K828" s="118"/>
      <c r="L828" s="118"/>
      <c r="M828" s="126"/>
      <c r="N828" s="126"/>
      <c r="O828" s="126"/>
      <c r="P828" s="135"/>
      <c r="Q828" s="135"/>
    </row>
    <row r="829" spans="11:17" ht="12.75">
      <c r="K829" s="118"/>
      <c r="L829" s="118"/>
      <c r="M829" s="126"/>
      <c r="N829" s="126"/>
      <c r="O829" s="126"/>
      <c r="P829" s="135"/>
      <c r="Q829" s="135"/>
    </row>
    <row r="830" spans="11:17" ht="12.75">
      <c r="K830" s="118"/>
      <c r="L830" s="118"/>
      <c r="M830" s="126"/>
      <c r="N830" s="126"/>
      <c r="O830" s="126"/>
      <c r="P830" s="135"/>
      <c r="Q830" s="135"/>
    </row>
    <row r="831" spans="11:17" ht="12.75">
      <c r="K831" s="118"/>
      <c r="L831" s="118"/>
      <c r="M831" s="126"/>
      <c r="N831" s="126"/>
      <c r="O831" s="126"/>
      <c r="P831" s="135"/>
      <c r="Q831" s="135"/>
    </row>
    <row r="832" spans="11:17" ht="12.75">
      <c r="K832" s="118"/>
      <c r="L832" s="118"/>
      <c r="M832" s="126"/>
      <c r="N832" s="126"/>
      <c r="O832" s="126"/>
      <c r="P832" s="135"/>
      <c r="Q832" s="135"/>
    </row>
    <row r="833" spans="11:17" ht="12.75">
      <c r="K833" s="118"/>
      <c r="L833" s="118"/>
      <c r="M833" s="126"/>
      <c r="N833" s="126"/>
      <c r="O833" s="126"/>
      <c r="P833" s="135"/>
      <c r="Q833" s="135"/>
    </row>
    <row r="834" spans="11:17" ht="12.75">
      <c r="K834" s="118"/>
      <c r="L834" s="118"/>
      <c r="M834" s="126"/>
      <c r="N834" s="126"/>
      <c r="O834" s="126"/>
      <c r="P834" s="135"/>
      <c r="Q834" s="135"/>
    </row>
    <row r="835" spans="11:17" ht="12.75">
      <c r="K835" s="118"/>
      <c r="L835" s="118"/>
      <c r="M835" s="126"/>
      <c r="N835" s="126"/>
      <c r="O835" s="126"/>
      <c r="P835" s="135"/>
      <c r="Q835" s="135"/>
    </row>
    <row r="836" spans="11:17" ht="12.75">
      <c r="K836" s="118"/>
      <c r="L836" s="118"/>
      <c r="M836" s="126"/>
      <c r="N836" s="126"/>
      <c r="O836" s="126"/>
      <c r="P836" s="135"/>
      <c r="Q836" s="135"/>
    </row>
    <row r="837" spans="11:17" ht="12.75">
      <c r="K837" s="118"/>
      <c r="L837" s="118"/>
      <c r="M837" s="126"/>
      <c r="N837" s="126"/>
      <c r="O837" s="126"/>
      <c r="P837" s="135"/>
      <c r="Q837" s="135"/>
    </row>
    <row r="838" spans="11:17" ht="12.75">
      <c r="K838" s="118"/>
      <c r="L838" s="118"/>
      <c r="M838" s="126"/>
      <c r="N838" s="126"/>
      <c r="O838" s="126"/>
      <c r="P838" s="135"/>
      <c r="Q838" s="135"/>
    </row>
    <row r="839" spans="11:17" ht="12.75">
      <c r="K839" s="118"/>
      <c r="L839" s="118"/>
      <c r="M839" s="126"/>
      <c r="N839" s="126"/>
      <c r="O839" s="126"/>
      <c r="P839" s="135"/>
      <c r="Q839" s="135"/>
    </row>
    <row r="840" spans="11:17" ht="12.75">
      <c r="K840" s="118"/>
      <c r="L840" s="118"/>
      <c r="M840" s="126"/>
      <c r="N840" s="126"/>
      <c r="O840" s="126"/>
      <c r="P840" s="135"/>
      <c r="Q840" s="135"/>
    </row>
    <row r="841" spans="11:17" ht="12.75">
      <c r="K841" s="118"/>
      <c r="L841" s="118"/>
      <c r="M841" s="126"/>
      <c r="N841" s="126"/>
      <c r="O841" s="126"/>
      <c r="P841" s="135"/>
      <c r="Q841" s="135"/>
    </row>
    <row r="842" spans="11:17" ht="12.75">
      <c r="K842" s="118"/>
      <c r="L842" s="118"/>
      <c r="M842" s="126"/>
      <c r="N842" s="126"/>
      <c r="O842" s="126"/>
      <c r="P842" s="135"/>
      <c r="Q842" s="135"/>
    </row>
    <row r="843" spans="11:17" ht="12.75">
      <c r="K843" s="118"/>
      <c r="L843" s="118"/>
      <c r="M843" s="126"/>
      <c r="N843" s="126"/>
      <c r="O843" s="126"/>
      <c r="P843" s="135"/>
      <c r="Q843" s="135"/>
    </row>
    <row r="844" spans="11:17" ht="12.75">
      <c r="K844" s="118"/>
      <c r="L844" s="118"/>
      <c r="M844" s="126"/>
      <c r="N844" s="126"/>
      <c r="O844" s="126"/>
      <c r="P844" s="135"/>
      <c r="Q844" s="135"/>
    </row>
    <row r="845" spans="11:17" ht="12.75">
      <c r="K845" s="118"/>
      <c r="L845" s="118"/>
      <c r="M845" s="126"/>
      <c r="N845" s="126"/>
      <c r="O845" s="126"/>
      <c r="P845" s="135"/>
      <c r="Q845" s="135"/>
    </row>
    <row r="846" spans="11:17" ht="12.75">
      <c r="K846" s="118"/>
      <c r="L846" s="118"/>
      <c r="M846" s="126"/>
      <c r="N846" s="126"/>
      <c r="O846" s="126"/>
      <c r="P846" s="135"/>
      <c r="Q846" s="135"/>
    </row>
    <row r="847" spans="11:17" ht="12.75">
      <c r="K847" s="118"/>
      <c r="L847" s="118"/>
      <c r="M847" s="126"/>
      <c r="N847" s="126"/>
      <c r="O847" s="126"/>
      <c r="P847" s="135"/>
      <c r="Q847" s="135"/>
    </row>
    <row r="848" spans="11:17" ht="12.75">
      <c r="K848" s="118"/>
      <c r="L848" s="118"/>
      <c r="M848" s="126"/>
      <c r="N848" s="126"/>
      <c r="O848" s="126"/>
      <c r="P848" s="135"/>
      <c r="Q848" s="135"/>
    </row>
    <row r="849" spans="11:17" ht="12.75">
      <c r="K849" s="118"/>
      <c r="L849" s="118"/>
      <c r="M849" s="126"/>
      <c r="N849" s="126"/>
      <c r="O849" s="126"/>
      <c r="P849" s="135"/>
      <c r="Q849" s="135"/>
    </row>
    <row r="850" spans="11:17" ht="12.75">
      <c r="K850" s="118"/>
      <c r="L850" s="118"/>
      <c r="M850" s="126"/>
      <c r="N850" s="126"/>
      <c r="O850" s="126"/>
      <c r="P850" s="135"/>
      <c r="Q850" s="135"/>
    </row>
    <row r="851" spans="11:17" ht="12.75">
      <c r="K851" s="118"/>
      <c r="L851" s="118"/>
      <c r="M851" s="126"/>
      <c r="N851" s="126"/>
      <c r="O851" s="126"/>
      <c r="P851" s="135"/>
      <c r="Q851" s="135"/>
    </row>
    <row r="852" spans="11:17" ht="12.75">
      <c r="K852" s="118"/>
      <c r="L852" s="118"/>
      <c r="M852" s="126"/>
      <c r="N852" s="126"/>
      <c r="O852" s="126"/>
      <c r="P852" s="135"/>
      <c r="Q852" s="135"/>
    </row>
    <row r="853" spans="11:17" ht="12.75">
      <c r="K853" s="118"/>
      <c r="L853" s="118"/>
      <c r="M853" s="126"/>
      <c r="N853" s="126"/>
      <c r="O853" s="126"/>
      <c r="P853" s="135"/>
      <c r="Q853" s="135"/>
    </row>
    <row r="854" spans="11:17" ht="12.75">
      <c r="K854" s="118"/>
      <c r="L854" s="118"/>
      <c r="M854" s="126"/>
      <c r="N854" s="126"/>
      <c r="O854" s="126"/>
      <c r="P854" s="135"/>
      <c r="Q854" s="135"/>
    </row>
    <row r="855" spans="11:17" ht="12.75">
      <c r="K855" s="118"/>
      <c r="L855" s="118"/>
      <c r="M855" s="126"/>
      <c r="N855" s="126"/>
      <c r="O855" s="126"/>
      <c r="P855" s="135"/>
      <c r="Q855" s="135"/>
    </row>
    <row r="856" spans="11:17" ht="12.75">
      <c r="K856" s="118"/>
      <c r="L856" s="118"/>
      <c r="M856" s="126"/>
      <c r="N856" s="126"/>
      <c r="O856" s="126"/>
      <c r="P856" s="135"/>
      <c r="Q856" s="135"/>
    </row>
    <row r="857" spans="11:17" ht="12.75">
      <c r="K857" s="118"/>
      <c r="L857" s="118"/>
      <c r="M857" s="126"/>
      <c r="N857" s="126"/>
      <c r="O857" s="126"/>
      <c r="P857" s="135"/>
      <c r="Q857" s="135"/>
    </row>
    <row r="858" spans="11:17" ht="12.75">
      <c r="K858" s="118"/>
      <c r="L858" s="118"/>
      <c r="M858" s="126"/>
      <c r="N858" s="126"/>
      <c r="O858" s="126"/>
      <c r="P858" s="135"/>
      <c r="Q858" s="135"/>
    </row>
    <row r="859" spans="11:17" ht="12.75">
      <c r="K859" s="118"/>
      <c r="L859" s="118"/>
      <c r="M859" s="126"/>
      <c r="N859" s="126"/>
      <c r="O859" s="126"/>
      <c r="P859" s="135"/>
      <c r="Q859" s="135"/>
    </row>
    <row r="860" spans="11:17" ht="12.75">
      <c r="K860" s="118"/>
      <c r="L860" s="118"/>
      <c r="M860" s="126"/>
      <c r="N860" s="126"/>
      <c r="O860" s="126"/>
      <c r="P860" s="135"/>
      <c r="Q860" s="135"/>
    </row>
    <row r="861" spans="11:17" ht="12.75">
      <c r="K861" s="118"/>
      <c r="L861" s="118"/>
      <c r="M861" s="126"/>
      <c r="N861" s="126"/>
      <c r="O861" s="126"/>
      <c r="P861" s="135"/>
      <c r="Q861" s="135"/>
    </row>
    <row r="862" spans="11:17" ht="12.75">
      <c r="K862" s="118"/>
      <c r="L862" s="118"/>
      <c r="M862" s="126"/>
      <c r="N862" s="126"/>
      <c r="O862" s="126"/>
      <c r="P862" s="135"/>
      <c r="Q862" s="135"/>
    </row>
    <row r="863" spans="11:17" ht="12.75">
      <c r="K863" s="118"/>
      <c r="L863" s="118"/>
      <c r="M863" s="126"/>
      <c r="N863" s="126"/>
      <c r="O863" s="126"/>
      <c r="P863" s="135"/>
      <c r="Q863" s="135"/>
    </row>
    <row r="864" spans="11:17" ht="12.75">
      <c r="K864" s="118"/>
      <c r="L864" s="118"/>
      <c r="M864" s="126"/>
      <c r="N864" s="126"/>
      <c r="O864" s="126"/>
      <c r="P864" s="135"/>
      <c r="Q864" s="135"/>
    </row>
    <row r="865" spans="11:17" ht="12.75">
      <c r="K865" s="118"/>
      <c r="L865" s="118"/>
      <c r="M865" s="126"/>
      <c r="N865" s="126"/>
      <c r="O865" s="126"/>
      <c r="P865" s="135"/>
      <c r="Q865" s="135"/>
    </row>
    <row r="866" spans="11:17" ht="12.75">
      <c r="K866" s="118"/>
      <c r="L866" s="118"/>
      <c r="M866" s="126"/>
      <c r="N866" s="126"/>
      <c r="O866" s="126"/>
      <c r="P866" s="135"/>
      <c r="Q866" s="135"/>
    </row>
    <row r="867" spans="11:17" ht="12.75">
      <c r="K867" s="118"/>
      <c r="L867" s="118"/>
      <c r="M867" s="126"/>
      <c r="N867" s="126"/>
      <c r="O867" s="126"/>
      <c r="P867" s="135"/>
      <c r="Q867" s="135"/>
    </row>
    <row r="868" spans="11:17" ht="12.75">
      <c r="K868" s="118"/>
      <c r="L868" s="118"/>
      <c r="M868" s="126"/>
      <c r="N868" s="126"/>
      <c r="O868" s="126"/>
      <c r="P868" s="135"/>
      <c r="Q868" s="135"/>
    </row>
    <row r="869" spans="11:17" ht="12.75">
      <c r="K869" s="118"/>
      <c r="L869" s="118"/>
      <c r="M869" s="126"/>
      <c r="N869" s="126"/>
      <c r="O869" s="126"/>
      <c r="P869" s="135"/>
      <c r="Q869" s="135"/>
    </row>
    <row r="870" spans="11:17" ht="12.75">
      <c r="K870" s="118"/>
      <c r="L870" s="118"/>
      <c r="M870" s="126"/>
      <c r="N870" s="126"/>
      <c r="O870" s="126"/>
      <c r="P870" s="135"/>
      <c r="Q870" s="135"/>
    </row>
    <row r="871" spans="11:17" ht="12.75">
      <c r="K871" s="118"/>
      <c r="L871" s="118"/>
      <c r="M871" s="126"/>
      <c r="N871" s="126"/>
      <c r="O871" s="126"/>
      <c r="P871" s="135"/>
      <c r="Q871" s="135"/>
    </row>
    <row r="872" spans="11:17" ht="12.75">
      <c r="K872" s="118"/>
      <c r="L872" s="118"/>
      <c r="M872" s="126"/>
      <c r="N872" s="126"/>
      <c r="O872" s="126"/>
      <c r="P872" s="135"/>
      <c r="Q872" s="135"/>
    </row>
    <row r="873" spans="11:17" ht="12.75">
      <c r="K873" s="118"/>
      <c r="L873" s="118"/>
      <c r="M873" s="126"/>
      <c r="N873" s="126"/>
      <c r="O873" s="126"/>
      <c r="P873" s="135"/>
      <c r="Q873" s="135"/>
    </row>
    <row r="874" spans="11:17" ht="12.75">
      <c r="K874" s="118"/>
      <c r="L874" s="118"/>
      <c r="M874" s="126"/>
      <c r="N874" s="126"/>
      <c r="O874" s="126"/>
      <c r="P874" s="135"/>
      <c r="Q874" s="135"/>
    </row>
    <row r="875" spans="11:17" ht="12.75">
      <c r="K875" s="118"/>
      <c r="L875" s="118"/>
      <c r="M875" s="126"/>
      <c r="N875" s="126"/>
      <c r="O875" s="126"/>
      <c r="P875" s="135"/>
      <c r="Q875" s="135"/>
    </row>
    <row r="876" spans="11:17" ht="12.75">
      <c r="K876" s="118"/>
      <c r="L876" s="118"/>
      <c r="M876" s="126"/>
      <c r="N876" s="126"/>
      <c r="O876" s="126"/>
      <c r="P876" s="135"/>
      <c r="Q876" s="135"/>
    </row>
    <row r="877" spans="11:17" ht="12.75">
      <c r="K877" s="118"/>
      <c r="L877" s="118"/>
      <c r="M877" s="126"/>
      <c r="N877" s="126"/>
      <c r="O877" s="126"/>
      <c r="P877" s="135"/>
      <c r="Q877" s="135"/>
    </row>
    <row r="878" spans="11:17" ht="12.75">
      <c r="K878" s="118"/>
      <c r="L878" s="118"/>
      <c r="M878" s="126"/>
      <c r="N878" s="126"/>
      <c r="O878" s="126"/>
      <c r="P878" s="135"/>
      <c r="Q878" s="135"/>
    </row>
    <row r="879" spans="11:17" ht="12.75">
      <c r="K879" s="118"/>
      <c r="L879" s="118"/>
      <c r="M879" s="126"/>
      <c r="N879" s="126"/>
      <c r="O879" s="126"/>
      <c r="P879" s="135"/>
      <c r="Q879" s="135"/>
    </row>
    <row r="880" spans="11:17" ht="12.75">
      <c r="K880" s="118"/>
      <c r="L880" s="118"/>
      <c r="M880" s="126"/>
      <c r="N880" s="126"/>
      <c r="O880" s="126"/>
      <c r="P880" s="135"/>
      <c r="Q880" s="135"/>
    </row>
    <row r="881" spans="11:17" ht="12.75">
      <c r="K881" s="118"/>
      <c r="L881" s="118"/>
      <c r="M881" s="126"/>
      <c r="N881" s="126"/>
      <c r="O881" s="126"/>
      <c r="P881" s="135"/>
      <c r="Q881" s="135"/>
    </row>
    <row r="882" spans="11:17" ht="12.75">
      <c r="K882" s="118"/>
      <c r="L882" s="118"/>
      <c r="M882" s="126"/>
      <c r="N882" s="126"/>
      <c r="O882" s="126"/>
      <c r="P882" s="135"/>
      <c r="Q882" s="135"/>
    </row>
    <row r="883" spans="11:17" ht="12.75">
      <c r="K883" s="118"/>
      <c r="L883" s="118"/>
      <c r="M883" s="126"/>
      <c r="N883" s="126"/>
      <c r="O883" s="126"/>
      <c r="P883" s="135"/>
      <c r="Q883" s="135"/>
    </row>
    <row r="884" spans="11:17" ht="12.75">
      <c r="K884" s="118"/>
      <c r="L884" s="118"/>
      <c r="M884" s="126"/>
      <c r="N884" s="126"/>
      <c r="O884" s="126"/>
      <c r="P884" s="135"/>
      <c r="Q884" s="135"/>
    </row>
    <row r="885" spans="11:17" ht="12.75">
      <c r="K885" s="118"/>
      <c r="L885" s="118"/>
      <c r="M885" s="126"/>
      <c r="N885" s="126"/>
      <c r="O885" s="126"/>
      <c r="P885" s="135"/>
      <c r="Q885" s="135"/>
    </row>
    <row r="886" spans="11:17" ht="12.75">
      <c r="K886" s="118"/>
      <c r="L886" s="118"/>
      <c r="M886" s="126"/>
      <c r="N886" s="126"/>
      <c r="O886" s="126"/>
      <c r="P886" s="135"/>
      <c r="Q886" s="135"/>
    </row>
    <row r="887" spans="11:17" ht="12.75">
      <c r="K887" s="118"/>
      <c r="L887" s="118"/>
      <c r="M887" s="126"/>
      <c r="N887" s="126"/>
      <c r="O887" s="126"/>
      <c r="P887" s="135"/>
      <c r="Q887" s="135"/>
    </row>
    <row r="888" spans="11:17" ht="12.75">
      <c r="K888" s="118"/>
      <c r="L888" s="118"/>
      <c r="M888" s="126"/>
      <c r="N888" s="126"/>
      <c r="O888" s="126"/>
      <c r="P888" s="135"/>
      <c r="Q888" s="135"/>
    </row>
    <row r="889" spans="11:17" ht="12.75">
      <c r="K889" s="118"/>
      <c r="L889" s="118"/>
      <c r="M889" s="126"/>
      <c r="N889" s="126"/>
      <c r="O889" s="126"/>
      <c r="P889" s="135"/>
      <c r="Q889" s="135"/>
    </row>
    <row r="890" spans="11:17" ht="12.75">
      <c r="K890" s="118"/>
      <c r="L890" s="118"/>
      <c r="M890" s="126"/>
      <c r="N890" s="126"/>
      <c r="O890" s="126"/>
      <c r="P890" s="135"/>
      <c r="Q890" s="135"/>
    </row>
    <row r="891" spans="11:17" ht="12.75">
      <c r="K891" s="118"/>
      <c r="L891" s="118"/>
      <c r="M891" s="126"/>
      <c r="N891" s="126"/>
      <c r="O891" s="126"/>
      <c r="P891" s="135"/>
      <c r="Q891" s="135"/>
    </row>
    <row r="892" spans="11:17" ht="12.75">
      <c r="K892" s="118"/>
      <c r="L892" s="118"/>
      <c r="M892" s="126"/>
      <c r="N892" s="126"/>
      <c r="O892" s="126"/>
      <c r="P892" s="135"/>
      <c r="Q892" s="135"/>
    </row>
    <row r="893" spans="11:17" ht="12.75">
      <c r="K893" s="118"/>
      <c r="L893" s="118"/>
      <c r="M893" s="126"/>
      <c r="N893" s="126"/>
      <c r="O893" s="126"/>
      <c r="P893" s="135"/>
      <c r="Q893" s="135"/>
    </row>
    <row r="894" spans="11:17" ht="12.75">
      <c r="K894" s="118"/>
      <c r="L894" s="118"/>
      <c r="M894" s="126"/>
      <c r="N894" s="126"/>
      <c r="O894" s="126"/>
      <c r="P894" s="135"/>
      <c r="Q894" s="135"/>
    </row>
    <row r="895" spans="11:17" ht="12.75">
      <c r="K895" s="118"/>
      <c r="L895" s="118"/>
      <c r="M895" s="126"/>
      <c r="N895" s="126"/>
      <c r="O895" s="126"/>
      <c r="P895" s="135"/>
      <c r="Q895" s="135"/>
    </row>
    <row r="896" spans="11:17" ht="12.75">
      <c r="K896" s="118"/>
      <c r="L896" s="118"/>
      <c r="M896" s="126"/>
      <c r="N896" s="126"/>
      <c r="O896" s="126"/>
      <c r="P896" s="135"/>
      <c r="Q896" s="135"/>
    </row>
    <row r="897" spans="11:17" ht="12.75">
      <c r="K897" s="118"/>
      <c r="L897" s="118"/>
      <c r="M897" s="126"/>
      <c r="N897" s="126"/>
      <c r="O897" s="126"/>
      <c r="P897" s="135"/>
      <c r="Q897" s="135"/>
    </row>
    <row r="898" spans="11:17" ht="12.75">
      <c r="K898" s="118"/>
      <c r="L898" s="118"/>
      <c r="M898" s="126"/>
      <c r="N898" s="126"/>
      <c r="O898" s="126"/>
      <c r="P898" s="135"/>
      <c r="Q898" s="135"/>
    </row>
    <row r="899" spans="11:17" ht="12.75">
      <c r="K899" s="118"/>
      <c r="L899" s="118"/>
      <c r="M899" s="126"/>
      <c r="N899" s="126"/>
      <c r="O899" s="126"/>
      <c r="P899" s="135"/>
      <c r="Q899" s="135"/>
    </row>
    <row r="900" spans="11:17" ht="12.75">
      <c r="K900" s="118"/>
      <c r="L900" s="118"/>
      <c r="M900" s="126"/>
      <c r="N900" s="126"/>
      <c r="O900" s="126"/>
      <c r="P900" s="135"/>
      <c r="Q900" s="135"/>
    </row>
    <row r="901" spans="11:17" ht="12.75">
      <c r="K901" s="118"/>
      <c r="L901" s="118"/>
      <c r="M901" s="126"/>
      <c r="N901" s="126"/>
      <c r="O901" s="126"/>
      <c r="P901" s="135"/>
      <c r="Q901" s="135"/>
    </row>
    <row r="902" spans="11:17" ht="12.75">
      <c r="K902" s="118"/>
      <c r="L902" s="118"/>
      <c r="M902" s="126"/>
      <c r="N902" s="126"/>
      <c r="O902" s="126"/>
      <c r="P902" s="135"/>
      <c r="Q902" s="135"/>
    </row>
    <row r="903" spans="11:17" ht="12.75">
      <c r="K903" s="118"/>
      <c r="L903" s="118"/>
      <c r="M903" s="126"/>
      <c r="N903" s="126"/>
      <c r="O903" s="126"/>
      <c r="P903" s="135"/>
      <c r="Q903" s="135"/>
    </row>
    <row r="904" spans="11:17" ht="12.75">
      <c r="K904" s="118"/>
      <c r="L904" s="118"/>
      <c r="M904" s="126"/>
      <c r="N904" s="126"/>
      <c r="O904" s="126"/>
      <c r="P904" s="135"/>
      <c r="Q904" s="135"/>
    </row>
    <row r="905" spans="11:17" ht="12.75">
      <c r="K905" s="118"/>
      <c r="L905" s="118"/>
      <c r="M905" s="126"/>
      <c r="N905" s="126"/>
      <c r="O905" s="126"/>
      <c r="P905" s="135"/>
      <c r="Q905" s="135"/>
    </row>
    <row r="906" spans="11:17" ht="12.75">
      <c r="K906" s="118"/>
      <c r="L906" s="118"/>
      <c r="M906" s="126"/>
      <c r="N906" s="126"/>
      <c r="O906" s="126"/>
      <c r="P906" s="135"/>
      <c r="Q906" s="135"/>
    </row>
    <row r="907" spans="11:17" ht="12.75">
      <c r="K907" s="118"/>
      <c r="L907" s="118"/>
      <c r="M907" s="126"/>
      <c r="N907" s="126"/>
      <c r="O907" s="126"/>
      <c r="P907" s="135"/>
      <c r="Q907" s="135"/>
    </row>
    <row r="908" spans="11:17" ht="12.75">
      <c r="K908" s="118"/>
      <c r="L908" s="118"/>
      <c r="M908" s="126"/>
      <c r="N908" s="126"/>
      <c r="O908" s="126"/>
      <c r="P908" s="135"/>
      <c r="Q908" s="135"/>
    </row>
    <row r="909" spans="11:17" ht="12.75">
      <c r="K909" s="118"/>
      <c r="L909" s="118"/>
      <c r="M909" s="126"/>
      <c r="N909" s="126"/>
      <c r="O909" s="126"/>
      <c r="P909" s="135"/>
      <c r="Q909" s="135"/>
    </row>
    <row r="910" spans="11:17" ht="12.75">
      <c r="K910" s="118"/>
      <c r="L910" s="118"/>
      <c r="M910" s="126"/>
      <c r="N910" s="126"/>
      <c r="O910" s="126"/>
      <c r="P910" s="135"/>
      <c r="Q910" s="135"/>
    </row>
    <row r="911" spans="11:17" ht="12.75">
      <c r="K911" s="118"/>
      <c r="L911" s="118"/>
      <c r="M911" s="126"/>
      <c r="N911" s="126"/>
      <c r="O911" s="126"/>
      <c r="P911" s="135"/>
      <c r="Q911" s="135"/>
    </row>
    <row r="912" spans="11:17" ht="12.75">
      <c r="K912" s="118"/>
      <c r="L912" s="118"/>
      <c r="M912" s="126"/>
      <c r="N912" s="126"/>
      <c r="O912" s="126"/>
      <c r="P912" s="135"/>
      <c r="Q912" s="135"/>
    </row>
    <row r="913" spans="11:17" ht="12.75">
      <c r="K913" s="118"/>
      <c r="L913" s="118"/>
      <c r="M913" s="126"/>
      <c r="N913" s="126"/>
      <c r="O913" s="126"/>
      <c r="P913" s="135"/>
      <c r="Q913" s="135"/>
    </row>
    <row r="914" spans="11:17" ht="12.75">
      <c r="K914" s="118"/>
      <c r="L914" s="118"/>
      <c r="M914" s="126"/>
      <c r="N914" s="126"/>
      <c r="O914" s="126"/>
      <c r="P914" s="135"/>
      <c r="Q914" s="135"/>
    </row>
    <row r="915" spans="11:17" ht="12.75">
      <c r="K915" s="118"/>
      <c r="L915" s="118"/>
      <c r="M915" s="126"/>
      <c r="N915" s="126"/>
      <c r="O915" s="126"/>
      <c r="P915" s="135"/>
      <c r="Q915" s="135"/>
    </row>
    <row r="916" spans="11:17" ht="12.75">
      <c r="K916" s="118"/>
      <c r="L916" s="118"/>
      <c r="M916" s="126"/>
      <c r="N916" s="126"/>
      <c r="O916" s="126"/>
      <c r="P916" s="135"/>
      <c r="Q916" s="135"/>
    </row>
    <row r="917" spans="11:17" ht="12.75">
      <c r="K917" s="118"/>
      <c r="L917" s="118"/>
      <c r="M917" s="126"/>
      <c r="N917" s="126"/>
      <c r="O917" s="126"/>
      <c r="P917" s="135"/>
      <c r="Q917" s="135"/>
    </row>
    <row r="918" spans="11:17" ht="12.75">
      <c r="K918" s="118"/>
      <c r="L918" s="118"/>
      <c r="M918" s="126"/>
      <c r="N918" s="126"/>
      <c r="O918" s="126"/>
      <c r="P918" s="135"/>
      <c r="Q918" s="135"/>
    </row>
    <row r="919" spans="11:17" ht="12.75">
      <c r="K919" s="118"/>
      <c r="L919" s="118"/>
      <c r="M919" s="126"/>
      <c r="N919" s="126"/>
      <c r="O919" s="126"/>
      <c r="P919" s="135"/>
      <c r="Q919" s="135"/>
    </row>
    <row r="920" spans="11:17" ht="12.75">
      <c r="K920" s="118"/>
      <c r="L920" s="118"/>
      <c r="M920" s="126"/>
      <c r="N920" s="126"/>
      <c r="O920" s="126"/>
      <c r="P920" s="135"/>
      <c r="Q920" s="135"/>
    </row>
    <row r="921" spans="11:17" ht="12.75">
      <c r="K921" s="118"/>
      <c r="L921" s="118"/>
      <c r="M921" s="126"/>
      <c r="N921" s="126"/>
      <c r="O921" s="126"/>
      <c r="P921" s="135"/>
      <c r="Q921" s="135"/>
    </row>
    <row r="922" spans="11:17" ht="12.75">
      <c r="K922" s="118"/>
      <c r="L922" s="118"/>
      <c r="M922" s="126"/>
      <c r="N922" s="126"/>
      <c r="O922" s="126"/>
      <c r="P922" s="135"/>
      <c r="Q922" s="135"/>
    </row>
    <row r="923" spans="11:17" ht="12.75">
      <c r="K923" s="118"/>
      <c r="L923" s="118"/>
      <c r="M923" s="126"/>
      <c r="N923" s="126"/>
      <c r="O923" s="126"/>
      <c r="P923" s="135"/>
      <c r="Q923" s="135"/>
    </row>
    <row r="924" spans="11:17" ht="12.75">
      <c r="K924" s="118"/>
      <c r="L924" s="118"/>
      <c r="M924" s="126"/>
      <c r="N924" s="126"/>
      <c r="O924" s="126"/>
      <c r="P924" s="135"/>
      <c r="Q924" s="135"/>
    </row>
    <row r="925" spans="11:17" ht="12.75">
      <c r="K925" s="118"/>
      <c r="L925" s="118"/>
      <c r="M925" s="126"/>
      <c r="N925" s="126"/>
      <c r="O925" s="126"/>
      <c r="P925" s="135"/>
      <c r="Q925" s="135"/>
    </row>
    <row r="926" spans="11:17" ht="12.75">
      <c r="K926" s="118"/>
      <c r="L926" s="118"/>
      <c r="M926" s="126"/>
      <c r="N926" s="126"/>
      <c r="O926" s="126"/>
      <c r="P926" s="135"/>
      <c r="Q926" s="135"/>
    </row>
    <row r="927" spans="11:17" ht="12.75">
      <c r="K927" s="118"/>
      <c r="L927" s="118"/>
      <c r="M927" s="126"/>
      <c r="N927" s="126"/>
      <c r="O927" s="126"/>
      <c r="P927" s="135"/>
      <c r="Q927" s="135"/>
    </row>
    <row r="928" spans="11:17" ht="12.75">
      <c r="K928" s="118"/>
      <c r="L928" s="118"/>
      <c r="M928" s="126"/>
      <c r="N928" s="126"/>
      <c r="O928" s="126"/>
      <c r="P928" s="135"/>
      <c r="Q928" s="135"/>
    </row>
    <row r="929" spans="11:17" ht="12.75">
      <c r="K929" s="118"/>
      <c r="L929" s="118"/>
      <c r="M929" s="126"/>
      <c r="N929" s="126"/>
      <c r="O929" s="126"/>
      <c r="P929" s="135"/>
      <c r="Q929" s="135"/>
    </row>
    <row r="930" spans="11:17" ht="12.75">
      <c r="K930" s="118"/>
      <c r="L930" s="118"/>
      <c r="M930" s="126"/>
      <c r="N930" s="126"/>
      <c r="O930" s="126"/>
      <c r="P930" s="135"/>
      <c r="Q930" s="135"/>
    </row>
    <row r="931" spans="11:17" ht="12.75">
      <c r="K931" s="118"/>
      <c r="L931" s="118"/>
      <c r="M931" s="126"/>
      <c r="N931" s="126"/>
      <c r="O931" s="126"/>
      <c r="P931" s="135"/>
      <c r="Q931" s="135"/>
    </row>
    <row r="932" spans="11:17" ht="12.75">
      <c r="K932" s="118"/>
      <c r="L932" s="118"/>
      <c r="M932" s="126"/>
      <c r="N932" s="126"/>
      <c r="O932" s="126"/>
      <c r="P932" s="135"/>
      <c r="Q932" s="135"/>
    </row>
    <row r="933" spans="11:17" ht="12.75">
      <c r="K933" s="118"/>
      <c r="L933" s="118"/>
      <c r="M933" s="126"/>
      <c r="N933" s="126"/>
      <c r="O933" s="126"/>
      <c r="P933" s="135"/>
      <c r="Q933" s="135"/>
    </row>
    <row r="934" spans="11:17" ht="12.75">
      <c r="K934" s="118"/>
      <c r="L934" s="118"/>
      <c r="M934" s="126"/>
      <c r="N934" s="126"/>
      <c r="O934" s="126"/>
      <c r="P934" s="135"/>
      <c r="Q934" s="135"/>
    </row>
    <row r="935" spans="11:17" ht="12.75">
      <c r="K935" s="118"/>
      <c r="L935" s="118"/>
      <c r="M935" s="126"/>
      <c r="N935" s="126"/>
      <c r="O935" s="126"/>
      <c r="P935" s="135"/>
      <c r="Q935" s="135"/>
    </row>
    <row r="936" spans="11:17" ht="12.75">
      <c r="K936" s="118"/>
      <c r="L936" s="118"/>
      <c r="M936" s="126"/>
      <c r="N936" s="126"/>
      <c r="O936" s="126"/>
      <c r="P936" s="135"/>
      <c r="Q936" s="135"/>
    </row>
    <row r="937" spans="11:17" ht="12.75">
      <c r="K937" s="118"/>
      <c r="L937" s="118"/>
      <c r="M937" s="126"/>
      <c r="N937" s="126"/>
      <c r="O937" s="126"/>
      <c r="P937" s="135"/>
      <c r="Q937" s="135"/>
    </row>
    <row r="938" spans="11:17" ht="12.75">
      <c r="K938" s="118"/>
      <c r="L938" s="118"/>
      <c r="M938" s="126"/>
      <c r="N938" s="126"/>
      <c r="O938" s="126"/>
      <c r="P938" s="135"/>
      <c r="Q938" s="135"/>
    </row>
    <row r="939" spans="11:17" ht="12.75">
      <c r="K939" s="118"/>
      <c r="L939" s="118"/>
      <c r="M939" s="126"/>
      <c r="N939" s="126"/>
      <c r="O939" s="126"/>
      <c r="P939" s="135"/>
      <c r="Q939" s="135"/>
    </row>
    <row r="940" spans="11:17" ht="12.75">
      <c r="K940" s="118"/>
      <c r="L940" s="118"/>
      <c r="M940" s="126"/>
      <c r="N940" s="126"/>
      <c r="O940" s="126"/>
      <c r="P940" s="135"/>
      <c r="Q940" s="135"/>
    </row>
    <row r="941" spans="11:17" ht="12.75">
      <c r="K941" s="118"/>
      <c r="L941" s="118"/>
      <c r="M941" s="126"/>
      <c r="N941" s="126"/>
      <c r="O941" s="126"/>
      <c r="P941" s="135"/>
      <c r="Q941" s="135"/>
    </row>
    <row r="942" spans="11:17" ht="12.75">
      <c r="K942" s="118"/>
      <c r="L942" s="118"/>
      <c r="M942" s="126"/>
      <c r="N942" s="126"/>
      <c r="O942" s="126"/>
      <c r="P942" s="135"/>
      <c r="Q942" s="135"/>
    </row>
    <row r="943" spans="11:17" ht="12.75">
      <c r="K943" s="118"/>
      <c r="L943" s="118"/>
      <c r="M943" s="126"/>
      <c r="N943" s="126"/>
      <c r="O943" s="126"/>
      <c r="P943" s="135"/>
      <c r="Q943" s="135"/>
    </row>
    <row r="944" spans="11:17" ht="12.75">
      <c r="K944" s="118"/>
      <c r="L944" s="118"/>
      <c r="M944" s="126"/>
      <c r="N944" s="126"/>
      <c r="O944" s="126"/>
      <c r="P944" s="135"/>
      <c r="Q944" s="135"/>
    </row>
    <row r="945" spans="11:17" ht="12.75">
      <c r="K945" s="118"/>
      <c r="L945" s="118"/>
      <c r="M945" s="126"/>
      <c r="N945" s="126"/>
      <c r="O945" s="126"/>
      <c r="P945" s="135"/>
      <c r="Q945" s="135"/>
    </row>
    <row r="946" spans="11:17" ht="12.75">
      <c r="K946" s="118"/>
      <c r="L946" s="118"/>
      <c r="M946" s="126"/>
      <c r="N946" s="126"/>
      <c r="O946" s="126"/>
      <c r="P946" s="135"/>
      <c r="Q946" s="135"/>
    </row>
    <row r="947" spans="11:17" ht="12.75">
      <c r="K947" s="118"/>
      <c r="L947" s="118"/>
      <c r="M947" s="126"/>
      <c r="N947" s="126"/>
      <c r="O947" s="126"/>
      <c r="P947" s="135"/>
      <c r="Q947" s="135"/>
    </row>
    <row r="948" spans="11:17" ht="12.75">
      <c r="K948" s="118"/>
      <c r="L948" s="118"/>
      <c r="M948" s="126"/>
      <c r="N948" s="126"/>
      <c r="O948" s="126"/>
      <c r="P948" s="135"/>
      <c r="Q948" s="135"/>
    </row>
    <row r="949" spans="11:17" ht="12.75">
      <c r="K949" s="118"/>
      <c r="L949" s="118"/>
      <c r="M949" s="126"/>
      <c r="N949" s="126"/>
      <c r="O949" s="126"/>
      <c r="P949" s="135"/>
      <c r="Q949" s="135"/>
    </row>
    <row r="950" spans="11:17" ht="12.75">
      <c r="K950" s="118"/>
      <c r="L950" s="118"/>
      <c r="M950" s="126"/>
      <c r="N950" s="126"/>
      <c r="O950" s="126"/>
      <c r="P950" s="135"/>
      <c r="Q950" s="135"/>
    </row>
    <row r="951" spans="11:17" ht="12.75">
      <c r="K951" s="118"/>
      <c r="L951" s="118"/>
      <c r="M951" s="126"/>
      <c r="N951" s="126"/>
      <c r="O951" s="126"/>
      <c r="P951" s="135"/>
      <c r="Q951" s="135"/>
    </row>
    <row r="952" spans="11:17" ht="12.75">
      <c r="K952" s="118"/>
      <c r="L952" s="118"/>
      <c r="M952" s="126"/>
      <c r="N952" s="126"/>
      <c r="O952" s="126"/>
      <c r="P952" s="135"/>
      <c r="Q952" s="135"/>
    </row>
    <row r="953" spans="11:17" ht="12.75">
      <c r="K953" s="118"/>
      <c r="L953" s="118"/>
      <c r="M953" s="126"/>
      <c r="N953" s="126"/>
      <c r="O953" s="126"/>
      <c r="P953" s="135"/>
      <c r="Q953" s="135"/>
    </row>
    <row r="954" spans="11:17" ht="12.75">
      <c r="K954" s="118"/>
      <c r="L954" s="118"/>
      <c r="M954" s="126"/>
      <c r="N954" s="126"/>
      <c r="O954" s="126"/>
      <c r="P954" s="135"/>
      <c r="Q954" s="135"/>
    </row>
    <row r="955" spans="11:17" ht="12.75">
      <c r="K955" s="118"/>
      <c r="L955" s="118"/>
      <c r="M955" s="126"/>
      <c r="N955" s="126"/>
      <c r="O955" s="126"/>
      <c r="P955" s="135"/>
      <c r="Q955" s="135"/>
    </row>
    <row r="956" spans="11:17" ht="12.75">
      <c r="K956" s="118"/>
      <c r="L956" s="118"/>
      <c r="M956" s="126"/>
      <c r="N956" s="126"/>
      <c r="O956" s="126"/>
      <c r="P956" s="135"/>
      <c r="Q956" s="135"/>
    </row>
    <row r="957" spans="11:17" ht="12.75">
      <c r="K957" s="118"/>
      <c r="L957" s="118"/>
      <c r="M957" s="126"/>
      <c r="N957" s="126"/>
      <c r="O957" s="126"/>
      <c r="P957" s="135"/>
      <c r="Q957" s="135"/>
    </row>
    <row r="958" spans="11:17" ht="12.75">
      <c r="K958" s="118"/>
      <c r="L958" s="118"/>
      <c r="M958" s="126"/>
      <c r="N958" s="126"/>
      <c r="O958" s="126"/>
      <c r="P958" s="135"/>
      <c r="Q958" s="135"/>
    </row>
    <row r="959" spans="11:17" ht="12.75">
      <c r="K959" s="118"/>
      <c r="L959" s="118"/>
      <c r="M959" s="126"/>
      <c r="N959" s="126"/>
      <c r="O959" s="126"/>
      <c r="P959" s="135"/>
      <c r="Q959" s="135"/>
    </row>
    <row r="960" spans="11:17" ht="12.75">
      <c r="K960" s="118"/>
      <c r="L960" s="118"/>
      <c r="M960" s="126"/>
      <c r="N960" s="126"/>
      <c r="O960" s="126"/>
      <c r="P960" s="135"/>
      <c r="Q960" s="135"/>
    </row>
    <row r="961" spans="11:17" ht="12.75">
      <c r="K961" s="118"/>
      <c r="L961" s="118"/>
      <c r="M961" s="126"/>
      <c r="N961" s="126"/>
      <c r="O961" s="126"/>
      <c r="P961" s="135"/>
      <c r="Q961" s="135"/>
    </row>
    <row r="962" spans="11:17" ht="12.75">
      <c r="K962" s="118"/>
      <c r="L962" s="118"/>
      <c r="M962" s="126"/>
      <c r="N962" s="126"/>
      <c r="O962" s="126"/>
      <c r="P962" s="135"/>
      <c r="Q962" s="135"/>
    </row>
    <row r="963" spans="11:17" ht="12.75">
      <c r="K963" s="118"/>
      <c r="L963" s="118"/>
      <c r="M963" s="126"/>
      <c r="N963" s="126"/>
      <c r="O963" s="126"/>
      <c r="P963" s="135"/>
      <c r="Q963" s="135"/>
    </row>
    <row r="964" spans="11:17" ht="12.75">
      <c r="K964" s="118"/>
      <c r="L964" s="118"/>
      <c r="M964" s="126"/>
      <c r="N964" s="126"/>
      <c r="O964" s="126"/>
      <c r="P964" s="135"/>
      <c r="Q964" s="135"/>
    </row>
    <row r="965" spans="11:17" ht="12.75">
      <c r="K965" s="118"/>
      <c r="L965" s="118"/>
      <c r="M965" s="126"/>
      <c r="N965" s="126"/>
      <c r="O965" s="126"/>
      <c r="P965" s="135"/>
      <c r="Q965" s="135"/>
    </row>
    <row r="966" spans="11:17" ht="12.75">
      <c r="K966" s="118"/>
      <c r="L966" s="118"/>
      <c r="M966" s="126"/>
      <c r="N966" s="126"/>
      <c r="O966" s="126"/>
      <c r="P966" s="135"/>
      <c r="Q966" s="135"/>
    </row>
    <row r="967" spans="11:17" ht="12.75">
      <c r="K967" s="118"/>
      <c r="L967" s="118"/>
      <c r="M967" s="126"/>
      <c r="N967" s="126"/>
      <c r="O967" s="126"/>
      <c r="P967" s="135"/>
      <c r="Q967" s="135"/>
    </row>
    <row r="968" spans="11:17" ht="12.75">
      <c r="K968" s="118"/>
      <c r="L968" s="118"/>
      <c r="M968" s="126"/>
      <c r="N968" s="126"/>
      <c r="O968" s="126"/>
      <c r="P968" s="135"/>
      <c r="Q968" s="135"/>
    </row>
    <row r="969" spans="11:17" ht="12.75">
      <c r="K969" s="118"/>
      <c r="L969" s="118"/>
      <c r="M969" s="126"/>
      <c r="N969" s="126"/>
      <c r="O969" s="126"/>
      <c r="P969" s="135"/>
      <c r="Q969" s="135"/>
    </row>
    <row r="970" spans="11:17" ht="12.75">
      <c r="K970" s="118"/>
      <c r="L970" s="118"/>
      <c r="M970" s="126"/>
      <c r="N970" s="126"/>
      <c r="O970" s="126"/>
      <c r="P970" s="135"/>
      <c r="Q970" s="135"/>
    </row>
    <row r="971" spans="11:17" ht="12.75">
      <c r="K971" s="118"/>
      <c r="L971" s="118"/>
      <c r="M971" s="126"/>
      <c r="N971" s="126"/>
      <c r="O971" s="126"/>
      <c r="P971" s="135"/>
      <c r="Q971" s="135"/>
    </row>
    <row r="972" spans="11:17" ht="12.75">
      <c r="K972" s="118"/>
      <c r="L972" s="118"/>
      <c r="M972" s="126"/>
      <c r="N972" s="126"/>
      <c r="O972" s="126"/>
      <c r="P972" s="135"/>
      <c r="Q972" s="135"/>
    </row>
    <row r="973" spans="11:17" ht="12.75">
      <c r="K973" s="118"/>
      <c r="L973" s="118"/>
      <c r="M973" s="126"/>
      <c r="N973" s="126"/>
      <c r="O973" s="126"/>
      <c r="P973" s="135"/>
      <c r="Q973" s="135"/>
    </row>
    <row r="974" spans="11:17" ht="12.75">
      <c r="K974" s="118"/>
      <c r="L974" s="118"/>
      <c r="M974" s="126"/>
      <c r="N974" s="126"/>
      <c r="O974" s="126"/>
      <c r="P974" s="135"/>
      <c r="Q974" s="135"/>
    </row>
    <row r="975" spans="11:17" ht="12.75">
      <c r="K975" s="118"/>
      <c r="L975" s="118"/>
      <c r="M975" s="126"/>
      <c r="N975" s="126"/>
      <c r="O975" s="126"/>
      <c r="P975" s="135"/>
      <c r="Q975" s="135"/>
    </row>
    <row r="976" spans="11:17" ht="12.75">
      <c r="K976" s="118"/>
      <c r="L976" s="118"/>
      <c r="M976" s="126"/>
      <c r="N976" s="126"/>
      <c r="O976" s="126"/>
      <c r="P976" s="135"/>
      <c r="Q976" s="135"/>
    </row>
    <row r="977" spans="11:17" ht="12.75">
      <c r="K977" s="118"/>
      <c r="L977" s="118"/>
      <c r="M977" s="126"/>
      <c r="N977" s="126"/>
      <c r="O977" s="126"/>
      <c r="P977" s="135"/>
      <c r="Q977" s="135"/>
    </row>
    <row r="978" spans="11:17" ht="12.75">
      <c r="K978" s="118"/>
      <c r="L978" s="118"/>
      <c r="M978" s="126"/>
      <c r="N978" s="126"/>
      <c r="O978" s="126"/>
      <c r="P978" s="135"/>
      <c r="Q978" s="135"/>
    </row>
    <row r="979" spans="11:17" ht="12.75">
      <c r="K979" s="118"/>
      <c r="L979" s="118"/>
      <c r="M979" s="126"/>
      <c r="N979" s="126"/>
      <c r="O979" s="126"/>
      <c r="P979" s="135"/>
      <c r="Q979" s="135"/>
    </row>
    <row r="980" spans="11:17" ht="12.75">
      <c r="K980" s="118"/>
      <c r="L980" s="118"/>
      <c r="M980" s="126"/>
      <c r="N980" s="126"/>
      <c r="O980" s="126"/>
      <c r="P980" s="135"/>
      <c r="Q980" s="135"/>
    </row>
    <row r="981" spans="11:17" ht="12.75">
      <c r="K981" s="118"/>
      <c r="L981" s="118"/>
      <c r="M981" s="126"/>
      <c r="N981" s="126"/>
      <c r="O981" s="126"/>
      <c r="P981" s="135"/>
      <c r="Q981" s="135"/>
    </row>
    <row r="982" spans="11:17" ht="12.75">
      <c r="K982" s="118"/>
      <c r="L982" s="118"/>
      <c r="M982" s="126"/>
      <c r="N982" s="126"/>
      <c r="O982" s="126"/>
      <c r="P982" s="135"/>
      <c r="Q982" s="135"/>
    </row>
    <row r="983" spans="11:17" ht="12.75">
      <c r="K983" s="118"/>
      <c r="L983" s="118"/>
      <c r="M983" s="126"/>
      <c r="N983" s="126"/>
      <c r="O983" s="126"/>
      <c r="P983" s="135"/>
      <c r="Q983" s="135"/>
    </row>
    <row r="984" spans="11:17" ht="12.75">
      <c r="K984" s="118"/>
      <c r="L984" s="118"/>
      <c r="M984" s="126"/>
      <c r="N984" s="126"/>
      <c r="O984" s="126"/>
      <c r="P984" s="135"/>
      <c r="Q984" s="135"/>
    </row>
    <row r="985" spans="11:17" ht="12.75">
      <c r="K985" s="118"/>
      <c r="L985" s="118"/>
      <c r="M985" s="126"/>
      <c r="N985" s="126"/>
      <c r="O985" s="126"/>
      <c r="P985" s="135"/>
      <c r="Q985" s="135"/>
    </row>
    <row r="986" spans="11:17" ht="12.75">
      <c r="K986" s="118"/>
      <c r="L986" s="118"/>
      <c r="M986" s="126"/>
      <c r="N986" s="126"/>
      <c r="O986" s="126"/>
      <c r="P986" s="135"/>
      <c r="Q986" s="135"/>
    </row>
    <row r="987" spans="11:17" ht="12.75">
      <c r="K987" s="118"/>
      <c r="L987" s="118"/>
      <c r="M987" s="126"/>
      <c r="N987" s="126"/>
      <c r="O987" s="126"/>
      <c r="P987" s="135"/>
      <c r="Q987" s="135"/>
    </row>
    <row r="988" spans="11:17" ht="12.75">
      <c r="K988" s="118"/>
      <c r="L988" s="118"/>
      <c r="M988" s="126"/>
      <c r="N988" s="126"/>
      <c r="O988" s="126"/>
      <c r="P988" s="135"/>
      <c r="Q988" s="135"/>
    </row>
    <row r="989" spans="11:17" ht="12.75">
      <c r="K989" s="118"/>
      <c r="L989" s="118"/>
      <c r="M989" s="126"/>
      <c r="N989" s="126"/>
      <c r="O989" s="126"/>
      <c r="P989" s="135"/>
      <c r="Q989" s="135"/>
    </row>
    <row r="990" spans="11:17" ht="12.75">
      <c r="K990" s="118"/>
      <c r="L990" s="118"/>
      <c r="M990" s="126"/>
      <c r="N990" s="126"/>
      <c r="O990" s="126"/>
      <c r="P990" s="135"/>
      <c r="Q990" s="135"/>
    </row>
    <row r="991" spans="11:17" ht="12.75">
      <c r="K991" s="118"/>
      <c r="L991" s="118"/>
      <c r="M991" s="126"/>
      <c r="N991" s="126"/>
      <c r="O991" s="126"/>
      <c r="P991" s="135"/>
      <c r="Q991" s="135"/>
    </row>
    <row r="992" spans="11:17" ht="12.75">
      <c r="K992" s="118"/>
      <c r="L992" s="118"/>
      <c r="M992" s="126"/>
      <c r="N992" s="126"/>
      <c r="O992" s="126"/>
      <c r="P992" s="135"/>
      <c r="Q992" s="135"/>
    </row>
    <row r="993" spans="11:17" ht="12.75">
      <c r="K993" s="118"/>
      <c r="L993" s="118"/>
      <c r="M993" s="126"/>
      <c r="N993" s="126"/>
      <c r="O993" s="126"/>
      <c r="P993" s="135"/>
      <c r="Q993" s="135"/>
    </row>
    <row r="994" spans="11:17" ht="12.75">
      <c r="K994" s="118"/>
      <c r="L994" s="118"/>
      <c r="M994" s="126"/>
      <c r="N994" s="126"/>
      <c r="O994" s="126"/>
      <c r="P994" s="135"/>
      <c r="Q994" s="135"/>
    </row>
    <row r="995" spans="11:17" ht="12.75">
      <c r="K995" s="118"/>
      <c r="L995" s="118"/>
      <c r="M995" s="126"/>
      <c r="N995" s="126"/>
      <c r="O995" s="126"/>
      <c r="P995" s="135"/>
      <c r="Q995" s="135"/>
    </row>
    <row r="996" spans="11:17" ht="12.75">
      <c r="K996" s="118"/>
      <c r="L996" s="118"/>
      <c r="M996" s="126"/>
      <c r="N996" s="126"/>
      <c r="O996" s="126"/>
      <c r="P996" s="135"/>
      <c r="Q996" s="135"/>
    </row>
    <row r="997" spans="11:17" ht="12.75">
      <c r="K997" s="118"/>
      <c r="L997" s="118"/>
      <c r="M997" s="126"/>
      <c r="N997" s="126"/>
      <c r="O997" s="126"/>
      <c r="P997" s="135"/>
      <c r="Q997" s="135"/>
    </row>
    <row r="998" spans="11:17" ht="12.75">
      <c r="K998" s="118"/>
      <c r="L998" s="118"/>
      <c r="M998" s="126"/>
      <c r="N998" s="126"/>
      <c r="O998" s="126"/>
      <c r="P998" s="135"/>
      <c r="Q998" s="135"/>
    </row>
    <row r="999" spans="11:17" ht="12.75">
      <c r="K999" s="118"/>
      <c r="L999" s="118"/>
      <c r="M999" s="126"/>
      <c r="N999" s="126"/>
      <c r="O999" s="126"/>
      <c r="P999" s="135"/>
      <c r="Q999" s="135"/>
    </row>
    <row r="1000" spans="11:17" ht="12.75">
      <c r="K1000" s="118"/>
      <c r="L1000" s="118"/>
      <c r="M1000" s="126"/>
      <c r="N1000" s="126"/>
      <c r="O1000" s="126"/>
      <c r="P1000" s="135"/>
      <c r="Q1000" s="135"/>
    </row>
    <row r="1001" spans="11:17" ht="12.75">
      <c r="K1001" s="118"/>
      <c r="L1001" s="118"/>
      <c r="M1001" s="126"/>
      <c r="N1001" s="126"/>
      <c r="O1001" s="126"/>
      <c r="P1001" s="135"/>
      <c r="Q1001" s="135"/>
    </row>
    <row r="1002" spans="11:17" ht="12.75">
      <c r="K1002" s="118"/>
      <c r="L1002" s="118"/>
      <c r="M1002" s="126"/>
      <c r="N1002" s="126"/>
      <c r="O1002" s="126"/>
      <c r="P1002" s="135"/>
      <c r="Q1002" s="135"/>
    </row>
    <row r="1003" spans="11:17" ht="12.75">
      <c r="K1003" s="118"/>
      <c r="L1003" s="118"/>
      <c r="M1003" s="126"/>
      <c r="N1003" s="126"/>
      <c r="O1003" s="126"/>
      <c r="P1003" s="135"/>
      <c r="Q1003" s="135"/>
    </row>
    <row r="1004" spans="11:17" ht="12.75">
      <c r="K1004" s="118"/>
      <c r="L1004" s="118"/>
      <c r="M1004" s="126"/>
      <c r="N1004" s="126"/>
      <c r="O1004" s="126"/>
      <c r="P1004" s="135"/>
      <c r="Q1004" s="135"/>
    </row>
    <row r="1005" spans="11:17" ht="12.75">
      <c r="K1005" s="118"/>
      <c r="L1005" s="118"/>
      <c r="M1005" s="126"/>
      <c r="N1005" s="126"/>
      <c r="O1005" s="126"/>
      <c r="P1005" s="135"/>
      <c r="Q1005" s="135"/>
    </row>
    <row r="1006" spans="11:17" ht="12.75">
      <c r="K1006" s="118"/>
      <c r="L1006" s="118"/>
      <c r="M1006" s="126"/>
      <c r="N1006" s="126"/>
      <c r="O1006" s="126"/>
      <c r="P1006" s="135"/>
      <c r="Q1006" s="135"/>
    </row>
    <row r="1007" spans="11:17" ht="12.75">
      <c r="K1007" s="118"/>
      <c r="L1007" s="118"/>
      <c r="M1007" s="126"/>
      <c r="N1007" s="126"/>
      <c r="O1007" s="126"/>
      <c r="P1007" s="135"/>
      <c r="Q1007" s="135"/>
    </row>
    <row r="1008" spans="11:17" ht="12.75">
      <c r="K1008" s="118"/>
      <c r="L1008" s="118"/>
      <c r="M1008" s="126"/>
      <c r="N1008" s="126"/>
      <c r="O1008" s="126"/>
      <c r="P1008" s="135"/>
      <c r="Q1008" s="135"/>
    </row>
    <row r="1009" spans="11:17" ht="12.75">
      <c r="K1009" s="118"/>
      <c r="L1009" s="118"/>
      <c r="M1009" s="126"/>
      <c r="N1009" s="126"/>
      <c r="O1009" s="126"/>
      <c r="P1009" s="135"/>
      <c r="Q1009" s="135"/>
    </row>
    <row r="1010" spans="11:17" ht="12.75">
      <c r="K1010" s="118"/>
      <c r="L1010" s="118"/>
      <c r="M1010" s="126"/>
      <c r="N1010" s="126"/>
      <c r="O1010" s="126"/>
      <c r="P1010" s="135"/>
      <c r="Q1010" s="135"/>
    </row>
    <row r="1011" spans="11:17" ht="12.75">
      <c r="K1011" s="118"/>
      <c r="L1011" s="118"/>
      <c r="M1011" s="126"/>
      <c r="N1011" s="126"/>
      <c r="O1011" s="126"/>
      <c r="P1011" s="135"/>
      <c r="Q1011" s="135"/>
    </row>
    <row r="1012" spans="11:17" ht="12.75">
      <c r="K1012" s="118"/>
      <c r="L1012" s="118"/>
      <c r="M1012" s="126"/>
      <c r="N1012" s="126"/>
      <c r="O1012" s="126"/>
      <c r="P1012" s="135"/>
      <c r="Q1012" s="135"/>
    </row>
    <row r="1013" spans="11:17" ht="12.75">
      <c r="K1013" s="118"/>
      <c r="L1013" s="118"/>
      <c r="M1013" s="126"/>
      <c r="N1013" s="126"/>
      <c r="O1013" s="126"/>
      <c r="P1013" s="135"/>
      <c r="Q1013" s="135"/>
    </row>
    <row r="1014" spans="11:17" ht="12.75">
      <c r="K1014" s="118"/>
      <c r="L1014" s="118"/>
      <c r="M1014" s="126"/>
      <c r="N1014" s="126"/>
      <c r="O1014" s="126"/>
      <c r="P1014" s="135"/>
      <c r="Q1014" s="135"/>
    </row>
    <row r="1015" spans="11:17" ht="12.75">
      <c r="K1015" s="118"/>
      <c r="L1015" s="118"/>
      <c r="M1015" s="126"/>
      <c r="N1015" s="126"/>
      <c r="O1015" s="126"/>
      <c r="P1015" s="135"/>
      <c r="Q1015" s="135"/>
    </row>
    <row r="1016" spans="11:17" ht="12.75">
      <c r="K1016" s="118"/>
      <c r="L1016" s="118"/>
      <c r="M1016" s="126"/>
      <c r="N1016" s="126"/>
      <c r="O1016" s="126"/>
      <c r="P1016" s="135"/>
      <c r="Q1016" s="135"/>
    </row>
    <row r="1017" spans="11:17" ht="12.75">
      <c r="K1017" s="118"/>
      <c r="L1017" s="118"/>
      <c r="M1017" s="126"/>
      <c r="N1017" s="126"/>
      <c r="O1017" s="126"/>
      <c r="P1017" s="135"/>
      <c r="Q1017" s="135"/>
    </row>
    <row r="1018" spans="11:17" ht="12.75">
      <c r="K1018" s="118"/>
      <c r="L1018" s="118"/>
      <c r="M1018" s="126"/>
      <c r="N1018" s="126"/>
      <c r="O1018" s="126"/>
      <c r="P1018" s="135"/>
      <c r="Q1018" s="135"/>
    </row>
    <row r="1019" spans="11:17" ht="12.75">
      <c r="K1019" s="118"/>
      <c r="L1019" s="118"/>
      <c r="M1019" s="126"/>
      <c r="N1019" s="126"/>
      <c r="O1019" s="126"/>
      <c r="P1019" s="135"/>
      <c r="Q1019" s="135"/>
    </row>
    <row r="1020" spans="11:17" ht="12.75">
      <c r="K1020" s="118"/>
      <c r="L1020" s="118"/>
      <c r="M1020" s="126"/>
      <c r="N1020" s="126"/>
      <c r="O1020" s="126"/>
      <c r="P1020" s="135"/>
      <c r="Q1020" s="135"/>
    </row>
    <row r="1021" spans="11:17" ht="12.75">
      <c r="K1021" s="118"/>
      <c r="L1021" s="118"/>
      <c r="M1021" s="126"/>
      <c r="N1021" s="126"/>
      <c r="O1021" s="126"/>
      <c r="P1021" s="135"/>
      <c r="Q1021" s="135"/>
    </row>
    <row r="1022" spans="11:17" ht="12.75">
      <c r="K1022" s="118"/>
      <c r="L1022" s="118"/>
      <c r="M1022" s="126"/>
      <c r="N1022" s="126"/>
      <c r="O1022" s="126"/>
      <c r="P1022" s="135"/>
      <c r="Q1022" s="135"/>
    </row>
    <row r="1023" spans="11:17" ht="12.75">
      <c r="K1023" s="118"/>
      <c r="L1023" s="118"/>
      <c r="M1023" s="126"/>
      <c r="N1023" s="126"/>
      <c r="O1023" s="126"/>
      <c r="P1023" s="135"/>
      <c r="Q1023" s="135"/>
    </row>
    <row r="1024" spans="11:17" ht="12.75">
      <c r="K1024" s="118"/>
      <c r="L1024" s="118"/>
      <c r="M1024" s="126"/>
      <c r="N1024" s="126"/>
      <c r="O1024" s="126"/>
      <c r="P1024" s="135"/>
      <c r="Q1024" s="135"/>
    </row>
    <row r="1025" spans="11:17" ht="12.75">
      <c r="K1025" s="118"/>
      <c r="L1025" s="118"/>
      <c r="M1025" s="126"/>
      <c r="N1025" s="126"/>
      <c r="O1025" s="126"/>
      <c r="P1025" s="135"/>
      <c r="Q1025" s="135"/>
    </row>
    <row r="1026" spans="11:17" ht="12.75">
      <c r="K1026" s="118"/>
      <c r="L1026" s="118"/>
      <c r="M1026" s="126"/>
      <c r="N1026" s="126"/>
      <c r="O1026" s="126"/>
      <c r="P1026" s="135"/>
      <c r="Q1026" s="135"/>
    </row>
    <row r="1027" spans="11:17" ht="12.75">
      <c r="K1027" s="118"/>
      <c r="L1027" s="118"/>
      <c r="M1027" s="126"/>
      <c r="N1027" s="126"/>
      <c r="O1027" s="126"/>
      <c r="P1027" s="135"/>
      <c r="Q1027" s="135"/>
    </row>
    <row r="1028" spans="11:17" ht="12.75">
      <c r="K1028" s="118"/>
      <c r="L1028" s="118"/>
      <c r="M1028" s="126"/>
      <c r="N1028" s="126"/>
      <c r="O1028" s="126"/>
      <c r="P1028" s="135"/>
      <c r="Q1028" s="135"/>
    </row>
    <row r="1029" spans="11:17" ht="12.75">
      <c r="K1029" s="118"/>
      <c r="L1029" s="118"/>
      <c r="M1029" s="126"/>
      <c r="N1029" s="126"/>
      <c r="O1029" s="126"/>
      <c r="P1029" s="135"/>
      <c r="Q1029" s="135"/>
    </row>
    <row r="1030" spans="11:17" ht="12.75">
      <c r="K1030" s="118"/>
      <c r="L1030" s="118"/>
      <c r="M1030" s="126"/>
      <c r="N1030" s="126"/>
      <c r="O1030" s="126"/>
      <c r="P1030" s="135"/>
      <c r="Q1030" s="135"/>
    </row>
    <row r="1031" spans="11:17" ht="12.75">
      <c r="K1031" s="118"/>
      <c r="L1031" s="118"/>
      <c r="M1031" s="126"/>
      <c r="N1031" s="126"/>
      <c r="O1031" s="126"/>
      <c r="P1031" s="135"/>
      <c r="Q1031" s="135"/>
    </row>
    <row r="1032" spans="11:17" ht="12.75">
      <c r="K1032" s="118"/>
      <c r="L1032" s="118"/>
      <c r="M1032" s="126"/>
      <c r="N1032" s="126"/>
      <c r="O1032" s="126"/>
      <c r="P1032" s="135"/>
      <c r="Q1032" s="135"/>
    </row>
    <row r="1033" spans="11:17" ht="12.75">
      <c r="K1033" s="118"/>
      <c r="L1033" s="118"/>
      <c r="M1033" s="126"/>
      <c r="N1033" s="126"/>
      <c r="O1033" s="126"/>
      <c r="P1033" s="135"/>
      <c r="Q1033" s="135"/>
    </row>
    <row r="1034" spans="11:17" ht="12.75">
      <c r="K1034" s="118"/>
      <c r="L1034" s="118"/>
      <c r="M1034" s="126"/>
      <c r="N1034" s="126"/>
      <c r="O1034" s="126"/>
      <c r="P1034" s="135"/>
      <c r="Q1034" s="135"/>
    </row>
    <row r="1035" spans="11:17" ht="12.75">
      <c r="K1035" s="118"/>
      <c r="L1035" s="118"/>
      <c r="M1035" s="126"/>
      <c r="N1035" s="126"/>
      <c r="O1035" s="126"/>
      <c r="P1035" s="135"/>
      <c r="Q1035" s="135"/>
    </row>
    <row r="1036" spans="11:17" ht="12.75">
      <c r="K1036" s="118"/>
      <c r="L1036" s="118"/>
      <c r="M1036" s="126"/>
      <c r="N1036" s="126"/>
      <c r="O1036" s="126"/>
      <c r="P1036" s="135"/>
      <c r="Q1036" s="135"/>
    </row>
    <row r="1037" spans="11:17" ht="12.75">
      <c r="K1037" s="118"/>
      <c r="L1037" s="118"/>
      <c r="M1037" s="126"/>
      <c r="N1037" s="126"/>
      <c r="O1037" s="126"/>
      <c r="P1037" s="135"/>
      <c r="Q1037" s="135"/>
    </row>
    <row r="1038" spans="11:17" ht="12.75">
      <c r="K1038" s="118"/>
      <c r="L1038" s="118"/>
      <c r="M1038" s="126"/>
      <c r="N1038" s="126"/>
      <c r="O1038" s="126"/>
      <c r="P1038" s="135"/>
      <c r="Q1038" s="135"/>
    </row>
    <row r="1039" spans="11:17" ht="12.75">
      <c r="K1039" s="118"/>
      <c r="L1039" s="118"/>
      <c r="M1039" s="126"/>
      <c r="N1039" s="126"/>
      <c r="O1039" s="126"/>
      <c r="P1039" s="135"/>
      <c r="Q1039" s="135"/>
    </row>
    <row r="1040" spans="11:17" ht="12.75">
      <c r="K1040" s="118"/>
      <c r="L1040" s="118"/>
      <c r="M1040" s="126"/>
      <c r="N1040" s="126"/>
      <c r="O1040" s="126"/>
      <c r="P1040" s="135"/>
      <c r="Q1040" s="135"/>
    </row>
    <row r="1041" spans="11:17" ht="12.75">
      <c r="K1041" s="118"/>
      <c r="L1041" s="118"/>
      <c r="M1041" s="126"/>
      <c r="N1041" s="126"/>
      <c r="O1041" s="126"/>
      <c r="P1041" s="135"/>
      <c r="Q1041" s="135"/>
    </row>
    <row r="1042" spans="11:17" ht="12.75">
      <c r="K1042" s="118"/>
      <c r="L1042" s="118"/>
      <c r="M1042" s="126"/>
      <c r="N1042" s="126"/>
      <c r="O1042" s="126"/>
      <c r="P1042" s="135"/>
      <c r="Q1042" s="135"/>
    </row>
    <row r="1043" spans="11:17" ht="12.75">
      <c r="K1043" s="118"/>
      <c r="L1043" s="118"/>
      <c r="M1043" s="126"/>
      <c r="N1043" s="126"/>
      <c r="O1043" s="126"/>
      <c r="P1043" s="135"/>
      <c r="Q1043" s="135"/>
    </row>
    <row r="1044" spans="11:17" ht="12.75">
      <c r="K1044" s="118"/>
      <c r="L1044" s="118"/>
      <c r="M1044" s="126"/>
      <c r="N1044" s="126"/>
      <c r="O1044" s="126"/>
      <c r="P1044" s="135"/>
      <c r="Q1044" s="135"/>
    </row>
    <row r="1045" spans="11:17" ht="12.75">
      <c r="K1045" s="118"/>
      <c r="L1045" s="118"/>
      <c r="M1045" s="126"/>
      <c r="N1045" s="126"/>
      <c r="O1045" s="126"/>
      <c r="P1045" s="135"/>
      <c r="Q1045" s="135"/>
    </row>
    <row r="1046" spans="11:17" ht="12.75">
      <c r="K1046" s="118"/>
      <c r="L1046" s="118"/>
      <c r="M1046" s="126"/>
      <c r="N1046" s="126"/>
      <c r="O1046" s="126"/>
      <c r="P1046" s="135"/>
      <c r="Q1046" s="135"/>
    </row>
    <row r="1047" spans="11:17" ht="12.75">
      <c r="K1047" s="118"/>
      <c r="L1047" s="118"/>
      <c r="M1047" s="126"/>
      <c r="N1047" s="126"/>
      <c r="O1047" s="126"/>
      <c r="P1047" s="135"/>
      <c r="Q1047" s="135"/>
    </row>
    <row r="1048" spans="11:17" ht="12.75">
      <c r="K1048" s="118"/>
      <c r="L1048" s="118"/>
      <c r="M1048" s="126"/>
      <c r="N1048" s="126"/>
      <c r="O1048" s="126"/>
      <c r="P1048" s="135"/>
      <c r="Q1048" s="135"/>
    </row>
    <row r="1049" spans="11:17" ht="12.75">
      <c r="K1049" s="118"/>
      <c r="L1049" s="118"/>
      <c r="M1049" s="126"/>
      <c r="N1049" s="126"/>
      <c r="O1049" s="126"/>
      <c r="P1049" s="135"/>
      <c r="Q1049" s="135"/>
    </row>
    <row r="1050" spans="11:17" ht="12.75">
      <c r="K1050" s="118"/>
      <c r="L1050" s="118"/>
      <c r="M1050" s="126"/>
      <c r="N1050" s="126"/>
      <c r="O1050" s="126"/>
      <c r="P1050" s="135"/>
      <c r="Q1050" s="135"/>
    </row>
    <row r="1051" spans="11:17" ht="12.75">
      <c r="K1051" s="118"/>
      <c r="L1051" s="118"/>
      <c r="M1051" s="126"/>
      <c r="N1051" s="126"/>
      <c r="O1051" s="126"/>
      <c r="P1051" s="135"/>
      <c r="Q1051" s="135"/>
    </row>
    <row r="1052" spans="11:17" ht="12.75">
      <c r="K1052" s="118"/>
      <c r="L1052" s="118"/>
      <c r="M1052" s="126"/>
      <c r="N1052" s="126"/>
      <c r="O1052" s="126"/>
      <c r="P1052" s="135"/>
      <c r="Q1052" s="135"/>
    </row>
    <row r="1053" spans="11:17" ht="12.75">
      <c r="K1053" s="118"/>
      <c r="L1053" s="118"/>
      <c r="M1053" s="126"/>
      <c r="N1053" s="126"/>
      <c r="O1053" s="126"/>
      <c r="P1053" s="135"/>
      <c r="Q1053" s="135"/>
    </row>
    <row r="1054" spans="11:17" ht="12.75">
      <c r="K1054" s="118"/>
      <c r="L1054" s="118"/>
      <c r="M1054" s="126"/>
      <c r="N1054" s="126"/>
      <c r="O1054" s="126"/>
      <c r="P1054" s="135"/>
      <c r="Q1054" s="135"/>
    </row>
    <row r="1055" spans="11:17" ht="12.75">
      <c r="K1055" s="118"/>
      <c r="L1055" s="118"/>
      <c r="M1055" s="126"/>
      <c r="N1055" s="126"/>
      <c r="O1055" s="126"/>
      <c r="P1055" s="135"/>
      <c r="Q1055" s="135"/>
    </row>
    <row r="1056" spans="11:17" ht="12.75">
      <c r="K1056" s="118"/>
      <c r="L1056" s="118"/>
      <c r="M1056" s="126"/>
      <c r="N1056" s="126"/>
      <c r="O1056" s="126"/>
      <c r="P1056" s="135"/>
      <c r="Q1056" s="135"/>
    </row>
    <row r="1057" spans="11:17" ht="12.75">
      <c r="K1057" s="118"/>
      <c r="L1057" s="118"/>
      <c r="M1057" s="126"/>
      <c r="N1057" s="126"/>
      <c r="O1057" s="126"/>
      <c r="P1057" s="135"/>
      <c r="Q1057" s="135"/>
    </row>
    <row r="1058" spans="11:17" ht="12.75">
      <c r="K1058" s="118"/>
      <c r="L1058" s="118"/>
      <c r="M1058" s="126"/>
      <c r="N1058" s="126"/>
      <c r="O1058" s="126"/>
      <c r="P1058" s="135"/>
      <c r="Q1058" s="135"/>
    </row>
    <row r="1059" spans="11:17" ht="12.75">
      <c r="K1059" s="118"/>
      <c r="L1059" s="118"/>
      <c r="M1059" s="126"/>
      <c r="N1059" s="126"/>
      <c r="O1059" s="126"/>
      <c r="P1059" s="135"/>
      <c r="Q1059" s="135"/>
    </row>
    <row r="1060" spans="11:17" ht="12.75">
      <c r="K1060" s="118"/>
      <c r="L1060" s="118"/>
      <c r="M1060" s="126"/>
      <c r="N1060" s="126"/>
      <c r="O1060" s="126"/>
      <c r="P1060" s="135"/>
      <c r="Q1060" s="135"/>
    </row>
    <row r="1061" spans="11:17" ht="12.75">
      <c r="K1061" s="118"/>
      <c r="L1061" s="118"/>
      <c r="M1061" s="126"/>
      <c r="N1061" s="126"/>
      <c r="O1061" s="126"/>
      <c r="P1061" s="135"/>
      <c r="Q1061" s="135"/>
    </row>
    <row r="1062" spans="11:17" ht="12.75">
      <c r="K1062" s="118"/>
      <c r="L1062" s="118"/>
      <c r="M1062" s="126"/>
      <c r="N1062" s="126"/>
      <c r="O1062" s="126"/>
      <c r="P1062" s="135"/>
      <c r="Q1062" s="135"/>
    </row>
    <row r="1063" spans="11:17" ht="12.75">
      <c r="K1063" s="118"/>
      <c r="L1063" s="118"/>
      <c r="M1063" s="126"/>
      <c r="N1063" s="126"/>
      <c r="O1063" s="126"/>
      <c r="P1063" s="135"/>
      <c r="Q1063" s="135"/>
    </row>
    <row r="1064" spans="11:17" ht="12.75">
      <c r="K1064" s="118"/>
      <c r="L1064" s="118"/>
      <c r="M1064" s="126"/>
      <c r="N1064" s="126"/>
      <c r="O1064" s="126"/>
      <c r="P1064" s="135"/>
      <c r="Q1064" s="135"/>
    </row>
    <row r="1065" spans="11:17" ht="12.75">
      <c r="K1065" s="118"/>
      <c r="L1065" s="118"/>
      <c r="M1065" s="126"/>
      <c r="N1065" s="126"/>
      <c r="O1065" s="126"/>
      <c r="P1065" s="135"/>
      <c r="Q1065" s="135"/>
    </row>
    <row r="1066" spans="11:17" ht="12.75">
      <c r="K1066" s="118"/>
      <c r="L1066" s="118"/>
      <c r="M1066" s="126"/>
      <c r="N1066" s="126"/>
      <c r="O1066" s="126"/>
      <c r="P1066" s="135"/>
      <c r="Q1066" s="135"/>
    </row>
    <row r="1067" spans="11:17" ht="12.75">
      <c r="K1067" s="118"/>
      <c r="L1067" s="118"/>
      <c r="M1067" s="126"/>
      <c r="N1067" s="126"/>
      <c r="O1067" s="126"/>
      <c r="P1067" s="135"/>
      <c r="Q1067" s="135"/>
    </row>
    <row r="1068" spans="11:17" ht="12.75">
      <c r="K1068" s="118"/>
      <c r="L1068" s="118"/>
      <c r="M1068" s="126"/>
      <c r="N1068" s="126"/>
      <c r="O1068" s="126"/>
      <c r="P1068" s="135"/>
      <c r="Q1068" s="135"/>
    </row>
    <row r="1069" spans="11:17" ht="12.75">
      <c r="K1069" s="118"/>
      <c r="L1069" s="118"/>
      <c r="M1069" s="126"/>
      <c r="N1069" s="126"/>
      <c r="O1069" s="126"/>
      <c r="P1069" s="135"/>
      <c r="Q1069" s="135"/>
    </row>
    <row r="1070" spans="11:17" ht="12.75">
      <c r="K1070" s="118"/>
      <c r="L1070" s="118"/>
      <c r="M1070" s="126"/>
      <c r="N1070" s="126"/>
      <c r="O1070" s="126"/>
      <c r="P1070" s="135"/>
      <c r="Q1070" s="135"/>
    </row>
    <row r="1071" spans="11:17" ht="12.75">
      <c r="K1071" s="118"/>
      <c r="L1071" s="118"/>
      <c r="M1071" s="126"/>
      <c r="N1071" s="126"/>
      <c r="O1071" s="126"/>
      <c r="P1071" s="135"/>
      <c r="Q1071" s="135"/>
    </row>
    <row r="1072" spans="11:17" ht="12.75">
      <c r="K1072" s="118"/>
      <c r="L1072" s="118"/>
      <c r="M1072" s="126"/>
      <c r="N1072" s="126"/>
      <c r="O1072" s="126"/>
      <c r="P1072" s="135"/>
      <c r="Q1072" s="135"/>
    </row>
    <row r="1073" spans="11:17" ht="12.75">
      <c r="K1073" s="118"/>
      <c r="L1073" s="118"/>
      <c r="M1073" s="126"/>
      <c r="N1073" s="126"/>
      <c r="O1073" s="126"/>
      <c r="P1073" s="135"/>
      <c r="Q1073" s="135"/>
    </row>
    <row r="1074" spans="11:17" ht="12.75">
      <c r="K1074" s="118"/>
      <c r="L1074" s="118"/>
      <c r="M1074" s="126"/>
      <c r="N1074" s="126"/>
      <c r="O1074" s="126"/>
      <c r="P1074" s="135"/>
      <c r="Q1074" s="135"/>
    </row>
    <row r="1075" spans="11:17" ht="12.75">
      <c r="K1075" s="118"/>
      <c r="L1075" s="118"/>
      <c r="M1075" s="126"/>
      <c r="N1075" s="126"/>
      <c r="O1075" s="126"/>
      <c r="P1075" s="135"/>
      <c r="Q1075" s="135"/>
    </row>
    <row r="1076" spans="11:17" ht="12.75">
      <c r="K1076" s="118"/>
      <c r="L1076" s="118"/>
      <c r="M1076" s="126"/>
      <c r="N1076" s="126"/>
      <c r="O1076" s="126"/>
      <c r="P1076" s="135"/>
      <c r="Q1076" s="135"/>
    </row>
    <row r="1077" spans="11:17" ht="12.75">
      <c r="K1077" s="118"/>
      <c r="L1077" s="118"/>
      <c r="M1077" s="126"/>
      <c r="N1077" s="126"/>
      <c r="O1077" s="126"/>
      <c r="P1077" s="135"/>
      <c r="Q1077" s="135"/>
    </row>
    <row r="1078" spans="11:17" ht="12.75">
      <c r="K1078" s="118"/>
      <c r="L1078" s="118"/>
      <c r="M1078" s="126"/>
      <c r="N1078" s="126"/>
      <c r="O1078" s="126"/>
      <c r="P1078" s="135"/>
      <c r="Q1078" s="135"/>
    </row>
    <row r="1079" spans="11:17" ht="12.75">
      <c r="K1079" s="118"/>
      <c r="L1079" s="118"/>
      <c r="M1079" s="126"/>
      <c r="N1079" s="126"/>
      <c r="O1079" s="126"/>
      <c r="P1079" s="135"/>
      <c r="Q1079" s="135"/>
    </row>
    <row r="1080" spans="11:17" ht="12.75">
      <c r="K1080" s="118"/>
      <c r="L1080" s="118"/>
      <c r="M1080" s="126"/>
      <c r="N1080" s="126"/>
      <c r="O1080" s="126"/>
      <c r="P1080" s="135"/>
      <c r="Q1080" s="135"/>
    </row>
    <row r="1081" spans="11:17" ht="12.75">
      <c r="K1081" s="118"/>
      <c r="L1081" s="118"/>
      <c r="M1081" s="126"/>
      <c r="N1081" s="126"/>
      <c r="O1081" s="126"/>
      <c r="P1081" s="135"/>
      <c r="Q1081" s="135"/>
    </row>
    <row r="1082" spans="11:17" ht="12.75">
      <c r="K1082" s="118"/>
      <c r="L1082" s="118"/>
      <c r="M1082" s="126"/>
      <c r="N1082" s="126"/>
      <c r="O1082" s="126"/>
      <c r="P1082" s="135"/>
      <c r="Q1082" s="135"/>
    </row>
    <row r="1083" spans="11:17" ht="12.75">
      <c r="K1083" s="118"/>
      <c r="L1083" s="118"/>
      <c r="M1083" s="126"/>
      <c r="N1083" s="126"/>
      <c r="O1083" s="126"/>
      <c r="P1083" s="135"/>
      <c r="Q1083" s="135"/>
    </row>
    <row r="1084" spans="11:17" ht="12.75">
      <c r="K1084" s="118"/>
      <c r="L1084" s="118"/>
      <c r="M1084" s="126"/>
      <c r="N1084" s="126"/>
      <c r="O1084" s="126"/>
      <c r="P1084" s="135"/>
      <c r="Q1084" s="135"/>
    </row>
    <row r="1085" spans="11:17" ht="12.75">
      <c r="K1085" s="118"/>
      <c r="L1085" s="118"/>
      <c r="M1085" s="126"/>
      <c r="N1085" s="126"/>
      <c r="O1085" s="126"/>
      <c r="P1085" s="135"/>
      <c r="Q1085" s="135"/>
    </row>
    <row r="1086" spans="11:17" ht="12.75">
      <c r="K1086" s="118"/>
      <c r="L1086" s="118"/>
      <c r="M1086" s="126"/>
      <c r="N1086" s="126"/>
      <c r="O1086" s="126"/>
      <c r="P1086" s="135"/>
      <c r="Q1086" s="135"/>
    </row>
    <row r="1087" spans="11:17" ht="12.75">
      <c r="K1087" s="118"/>
      <c r="L1087" s="118"/>
      <c r="M1087" s="126"/>
      <c r="N1087" s="126"/>
      <c r="O1087" s="126"/>
      <c r="P1087" s="135"/>
      <c r="Q1087" s="135"/>
    </row>
    <row r="1088" spans="11:17" ht="12.75">
      <c r="K1088" s="118"/>
      <c r="L1088" s="118"/>
      <c r="M1088" s="126"/>
      <c r="N1088" s="126"/>
      <c r="O1088" s="126"/>
      <c r="P1088" s="135"/>
      <c r="Q1088" s="135"/>
    </row>
    <row r="1089" spans="11:17" ht="12.75">
      <c r="K1089" s="118"/>
      <c r="L1089" s="118"/>
      <c r="M1089" s="126"/>
      <c r="N1089" s="126"/>
      <c r="O1089" s="126"/>
      <c r="P1089" s="135"/>
      <c r="Q1089" s="135"/>
    </row>
    <row r="1090" spans="11:17" ht="12.75">
      <c r="K1090" s="118"/>
      <c r="L1090" s="118"/>
      <c r="M1090" s="126"/>
      <c r="N1090" s="126"/>
      <c r="O1090" s="126"/>
      <c r="P1090" s="135"/>
      <c r="Q1090" s="135"/>
    </row>
    <row r="1091" spans="11:17" ht="12.75">
      <c r="K1091" s="118"/>
      <c r="L1091" s="118"/>
      <c r="M1091" s="126"/>
      <c r="N1091" s="126"/>
      <c r="O1091" s="126"/>
      <c r="P1091" s="135"/>
      <c r="Q1091" s="135"/>
    </row>
    <row r="1092" spans="11:17" ht="12.75">
      <c r="K1092" s="118"/>
      <c r="L1092" s="118"/>
      <c r="M1092" s="126"/>
      <c r="N1092" s="126"/>
      <c r="O1092" s="126"/>
      <c r="P1092" s="135"/>
      <c r="Q1092" s="135"/>
    </row>
    <row r="1093" spans="11:17" ht="12.75">
      <c r="K1093" s="118"/>
      <c r="L1093" s="118"/>
      <c r="M1093" s="126"/>
      <c r="N1093" s="126"/>
      <c r="O1093" s="126"/>
      <c r="P1093" s="135"/>
      <c r="Q1093" s="135"/>
    </row>
    <row r="1094" spans="11:17" ht="12.75">
      <c r="K1094" s="118"/>
      <c r="L1094" s="118"/>
      <c r="M1094" s="126"/>
      <c r="N1094" s="126"/>
      <c r="O1094" s="126"/>
      <c r="P1094" s="135"/>
      <c r="Q1094" s="135"/>
    </row>
    <row r="1095" spans="11:17" ht="12.75">
      <c r="K1095" s="118"/>
      <c r="L1095" s="118"/>
      <c r="M1095" s="126"/>
      <c r="N1095" s="126"/>
      <c r="O1095" s="126"/>
      <c r="P1095" s="135"/>
      <c r="Q1095" s="135"/>
    </row>
    <row r="1096" spans="11:17" ht="12.75">
      <c r="K1096" s="118"/>
      <c r="L1096" s="118"/>
      <c r="M1096" s="126"/>
      <c r="N1096" s="126"/>
      <c r="O1096" s="126"/>
      <c r="P1096" s="135"/>
      <c r="Q1096" s="135"/>
    </row>
    <row r="1097" spans="11:17" ht="12.75">
      <c r="K1097" s="118"/>
      <c r="L1097" s="118"/>
      <c r="M1097" s="126"/>
      <c r="N1097" s="126"/>
      <c r="O1097" s="126"/>
      <c r="P1097" s="135"/>
      <c r="Q1097" s="135"/>
    </row>
    <row r="1098" spans="11:17" ht="12.75">
      <c r="K1098" s="118"/>
      <c r="L1098" s="118"/>
      <c r="M1098" s="126"/>
      <c r="N1098" s="126"/>
      <c r="O1098" s="126"/>
      <c r="P1098" s="135"/>
      <c r="Q1098" s="135"/>
    </row>
    <row r="1099" spans="11:17" ht="12.75">
      <c r="K1099" s="118"/>
      <c r="L1099" s="118"/>
      <c r="M1099" s="126"/>
      <c r="N1099" s="126"/>
      <c r="O1099" s="126"/>
      <c r="P1099" s="135"/>
      <c r="Q1099" s="135"/>
    </row>
    <row r="1100" spans="11:17" ht="12.75">
      <c r="K1100" s="118"/>
      <c r="L1100" s="118"/>
      <c r="M1100" s="126"/>
      <c r="N1100" s="126"/>
      <c r="O1100" s="126"/>
      <c r="P1100" s="135"/>
      <c r="Q1100" s="135"/>
    </row>
    <row r="1101" spans="11:17" ht="12.75">
      <c r="K1101" s="118"/>
      <c r="L1101" s="118"/>
      <c r="M1101" s="126"/>
      <c r="N1101" s="126"/>
      <c r="O1101" s="126"/>
      <c r="P1101" s="135"/>
      <c r="Q1101" s="135"/>
    </row>
    <row r="1102" spans="11:17" ht="12.75">
      <c r="K1102" s="118"/>
      <c r="L1102" s="118"/>
      <c r="M1102" s="126"/>
      <c r="N1102" s="126"/>
      <c r="O1102" s="126"/>
      <c r="P1102" s="135"/>
      <c r="Q1102" s="135"/>
    </row>
    <row r="1103" spans="11:17" ht="12.75">
      <c r="K1103" s="118"/>
      <c r="L1103" s="118"/>
      <c r="M1103" s="126"/>
      <c r="N1103" s="126"/>
      <c r="O1103" s="126"/>
      <c r="P1103" s="135"/>
      <c r="Q1103" s="135"/>
    </row>
    <row r="1104" spans="11:17" ht="12.75">
      <c r="K1104" s="118"/>
      <c r="L1104" s="118"/>
      <c r="M1104" s="126"/>
      <c r="N1104" s="126"/>
      <c r="O1104" s="126"/>
      <c r="P1104" s="135"/>
      <c r="Q1104" s="135"/>
    </row>
    <row r="1105" spans="11:17" ht="12.75">
      <c r="K1105" s="118"/>
      <c r="L1105" s="118"/>
      <c r="M1105" s="126"/>
      <c r="N1105" s="126"/>
      <c r="O1105" s="126"/>
      <c r="P1105" s="135"/>
      <c r="Q1105" s="135"/>
    </row>
    <row r="1106" spans="11:17" ht="12.75">
      <c r="K1106" s="118"/>
      <c r="L1106" s="118"/>
      <c r="M1106" s="126"/>
      <c r="N1106" s="126"/>
      <c r="O1106" s="126"/>
      <c r="P1106" s="135"/>
      <c r="Q1106" s="135"/>
    </row>
    <row r="1107" spans="11:17" ht="12.75">
      <c r="K1107" s="118"/>
      <c r="L1107" s="118"/>
      <c r="M1107" s="126"/>
      <c r="N1107" s="126"/>
      <c r="O1107" s="126"/>
      <c r="P1107" s="135"/>
      <c r="Q1107" s="135"/>
    </row>
    <row r="1108" spans="11:17" ht="12.75">
      <c r="K1108" s="118"/>
      <c r="L1108" s="118"/>
      <c r="M1108" s="126"/>
      <c r="N1108" s="126"/>
      <c r="O1108" s="126"/>
      <c r="P1108" s="135"/>
      <c r="Q1108" s="135"/>
    </row>
    <row r="1109" spans="11:17" ht="12.75">
      <c r="K1109" s="118"/>
      <c r="L1109" s="118"/>
      <c r="M1109" s="126"/>
      <c r="N1109" s="126"/>
      <c r="O1109" s="126"/>
      <c r="P1109" s="135"/>
      <c r="Q1109" s="135"/>
    </row>
    <row r="1110" spans="11:17" ht="12.75">
      <c r="K1110" s="118"/>
      <c r="L1110" s="118"/>
      <c r="M1110" s="126"/>
      <c r="N1110" s="126"/>
      <c r="O1110" s="126"/>
      <c r="P1110" s="135"/>
      <c r="Q1110" s="135"/>
    </row>
    <row r="1111" spans="11:17" ht="12.75">
      <c r="K1111" s="118"/>
      <c r="L1111" s="118"/>
      <c r="M1111" s="126"/>
      <c r="N1111" s="126"/>
      <c r="O1111" s="126"/>
      <c r="P1111" s="135"/>
      <c r="Q1111" s="135"/>
    </row>
    <row r="1112" spans="11:17" ht="12.75">
      <c r="K1112" s="118"/>
      <c r="L1112" s="118"/>
      <c r="M1112" s="126"/>
      <c r="N1112" s="126"/>
      <c r="O1112" s="126"/>
      <c r="P1112" s="135"/>
      <c r="Q1112" s="135"/>
    </row>
    <row r="1113" spans="11:17" ht="12.75">
      <c r="K1113" s="118"/>
      <c r="L1113" s="118"/>
      <c r="M1113" s="126"/>
      <c r="N1113" s="126"/>
      <c r="O1113" s="126"/>
      <c r="P1113" s="135"/>
      <c r="Q1113" s="135"/>
    </row>
    <row r="1114" spans="11:17" ht="12.75">
      <c r="K1114" s="118"/>
      <c r="L1114" s="118"/>
      <c r="M1114" s="126"/>
      <c r="N1114" s="126"/>
      <c r="O1114" s="126"/>
      <c r="P1114" s="135"/>
      <c r="Q1114" s="135"/>
    </row>
    <row r="1115" spans="11:17" ht="12.75">
      <c r="K1115" s="118"/>
      <c r="L1115" s="118"/>
      <c r="M1115" s="126"/>
      <c r="N1115" s="126"/>
      <c r="O1115" s="126"/>
      <c r="P1115" s="135"/>
      <c r="Q1115" s="135"/>
    </row>
    <row r="1116" spans="11:17" ht="12.75">
      <c r="K1116" s="118"/>
      <c r="L1116" s="118"/>
      <c r="M1116" s="126"/>
      <c r="N1116" s="126"/>
      <c r="O1116" s="126"/>
      <c r="P1116" s="135"/>
      <c r="Q1116" s="135"/>
    </row>
    <row r="1117" spans="11:17" ht="12.75">
      <c r="K1117" s="118"/>
      <c r="L1117" s="118"/>
      <c r="M1117" s="126"/>
      <c r="N1117" s="126"/>
      <c r="O1117" s="126"/>
      <c r="P1117" s="135"/>
      <c r="Q1117" s="135"/>
    </row>
    <row r="1118" spans="11:17" ht="12.75">
      <c r="K1118" s="118"/>
      <c r="L1118" s="118"/>
      <c r="M1118" s="126"/>
      <c r="N1118" s="126"/>
      <c r="O1118" s="126"/>
      <c r="P1118" s="135"/>
      <c r="Q1118" s="135"/>
    </row>
    <row r="1119" spans="11:17" ht="12.75">
      <c r="K1119" s="118"/>
      <c r="L1119" s="118"/>
      <c r="M1119" s="126"/>
      <c r="N1119" s="126"/>
      <c r="O1119" s="126"/>
      <c r="P1119" s="135"/>
      <c r="Q1119" s="135"/>
    </row>
    <row r="1120" spans="11:17" ht="12.75">
      <c r="K1120" s="118"/>
      <c r="L1120" s="118"/>
      <c r="M1120" s="126"/>
      <c r="N1120" s="126"/>
      <c r="O1120" s="126"/>
      <c r="P1120" s="135"/>
      <c r="Q1120" s="135"/>
    </row>
    <row r="1121" spans="11:17" ht="12.75">
      <c r="K1121" s="118"/>
      <c r="L1121" s="118"/>
      <c r="M1121" s="126"/>
      <c r="N1121" s="126"/>
      <c r="O1121" s="126"/>
      <c r="P1121" s="135"/>
      <c r="Q1121" s="135"/>
    </row>
    <row r="1122" spans="11:17" ht="12.75">
      <c r="K1122" s="118"/>
      <c r="L1122" s="118"/>
      <c r="M1122" s="126"/>
      <c r="N1122" s="126"/>
      <c r="O1122" s="126"/>
      <c r="P1122" s="135"/>
      <c r="Q1122" s="135"/>
    </row>
    <row r="1123" spans="11:17" ht="12.75">
      <c r="K1123" s="118"/>
      <c r="L1123" s="118"/>
      <c r="M1123" s="126"/>
      <c r="N1123" s="126"/>
      <c r="O1123" s="126"/>
      <c r="P1123" s="135"/>
      <c r="Q1123" s="135"/>
    </row>
    <row r="1124" spans="11:17" ht="12.75">
      <c r="K1124" s="118"/>
      <c r="L1124" s="118"/>
      <c r="M1124" s="126"/>
      <c r="N1124" s="126"/>
      <c r="O1124" s="126"/>
      <c r="P1124" s="135"/>
      <c r="Q1124" s="135"/>
    </row>
    <row r="1125" spans="11:17" ht="12.75">
      <c r="K1125" s="118"/>
      <c r="L1125" s="118"/>
      <c r="M1125" s="126"/>
      <c r="N1125" s="126"/>
      <c r="O1125" s="126"/>
      <c r="P1125" s="135"/>
      <c r="Q1125" s="135"/>
    </row>
    <row r="1126" spans="11:17" ht="12.75">
      <c r="K1126" s="118"/>
      <c r="L1126" s="118"/>
      <c r="M1126" s="126"/>
      <c r="N1126" s="126"/>
      <c r="O1126" s="126"/>
      <c r="P1126" s="135"/>
      <c r="Q1126" s="135"/>
    </row>
    <row r="1127" spans="11:17" ht="12.75">
      <c r="K1127" s="118"/>
      <c r="L1127" s="118"/>
      <c r="M1127" s="126"/>
      <c r="N1127" s="126"/>
      <c r="O1127" s="126"/>
      <c r="P1127" s="135"/>
      <c r="Q1127" s="135"/>
    </row>
    <row r="1128" spans="11:17" ht="12.75">
      <c r="K1128" s="118"/>
      <c r="L1128" s="118"/>
      <c r="M1128" s="126"/>
      <c r="N1128" s="126"/>
      <c r="O1128" s="126"/>
      <c r="P1128" s="135"/>
      <c r="Q1128" s="135"/>
    </row>
    <row r="1129" spans="11:17" ht="12.75">
      <c r="K1129" s="118"/>
      <c r="L1129" s="118"/>
      <c r="M1129" s="126"/>
      <c r="N1129" s="126"/>
      <c r="O1129" s="126"/>
      <c r="P1129" s="135"/>
      <c r="Q1129" s="135"/>
    </row>
    <row r="1130" spans="11:17" ht="12.75">
      <c r="K1130" s="118"/>
      <c r="L1130" s="118"/>
      <c r="M1130" s="126"/>
      <c r="N1130" s="126"/>
      <c r="O1130" s="126"/>
      <c r="P1130" s="135"/>
      <c r="Q1130" s="135"/>
    </row>
    <row r="1131" spans="11:17" ht="12.75">
      <c r="K1131" s="118"/>
      <c r="L1131" s="118"/>
      <c r="M1131" s="126"/>
      <c r="N1131" s="126"/>
      <c r="O1131" s="126"/>
      <c r="P1131" s="135"/>
      <c r="Q1131" s="135"/>
    </row>
    <row r="1132" spans="11:17" ht="12.75">
      <c r="K1132" s="118"/>
      <c r="L1132" s="118"/>
      <c r="M1132" s="126"/>
      <c r="N1132" s="126"/>
      <c r="O1132" s="126"/>
      <c r="P1132" s="135"/>
      <c r="Q1132" s="135"/>
    </row>
    <row r="1133" spans="11:17" ht="12.75">
      <c r="K1133" s="118"/>
      <c r="L1133" s="118"/>
      <c r="M1133" s="126"/>
      <c r="N1133" s="126"/>
      <c r="O1133" s="126"/>
      <c r="P1133" s="135"/>
      <c r="Q1133" s="135"/>
    </row>
    <row r="1134" spans="11:17" ht="12.75">
      <c r="K1134" s="118"/>
      <c r="L1134" s="118"/>
      <c r="M1134" s="126"/>
      <c r="N1134" s="126"/>
      <c r="O1134" s="126"/>
      <c r="P1134" s="135"/>
      <c r="Q1134" s="135"/>
    </row>
    <row r="1135" spans="11:17" ht="12.75">
      <c r="K1135" s="118"/>
      <c r="L1135" s="118"/>
      <c r="M1135" s="126"/>
      <c r="N1135" s="126"/>
      <c r="O1135" s="126"/>
      <c r="P1135" s="135"/>
      <c r="Q1135" s="135"/>
    </row>
    <row r="1136" spans="11:17" ht="12.75">
      <c r="K1136" s="118"/>
      <c r="L1136" s="118"/>
      <c r="M1136" s="126"/>
      <c r="N1136" s="126"/>
      <c r="O1136" s="126"/>
      <c r="P1136" s="135"/>
      <c r="Q1136" s="135"/>
    </row>
    <row r="1137" spans="11:17" ht="12.75">
      <c r="K1137" s="118"/>
      <c r="L1137" s="118"/>
      <c r="M1137" s="126"/>
      <c r="N1137" s="126"/>
      <c r="O1137" s="126"/>
      <c r="P1137" s="135"/>
      <c r="Q1137" s="135"/>
    </row>
    <row r="1138" spans="11:17" ht="12.75">
      <c r="K1138" s="118"/>
      <c r="L1138" s="118"/>
      <c r="M1138" s="126"/>
      <c r="N1138" s="126"/>
      <c r="O1138" s="126"/>
      <c r="P1138" s="135"/>
      <c r="Q1138" s="135"/>
    </row>
    <row r="1139" spans="11:17" ht="12.75">
      <c r="K1139" s="118"/>
      <c r="L1139" s="118"/>
      <c r="M1139" s="126"/>
      <c r="N1139" s="126"/>
      <c r="O1139" s="126"/>
      <c r="P1139" s="135"/>
      <c r="Q1139" s="135"/>
    </row>
    <row r="1140" spans="11:17" ht="12.75">
      <c r="K1140" s="118"/>
      <c r="L1140" s="118"/>
      <c r="M1140" s="126"/>
      <c r="N1140" s="126"/>
      <c r="O1140" s="126"/>
      <c r="P1140" s="135"/>
      <c r="Q1140" s="135"/>
    </row>
    <row r="1141" spans="11:17" ht="12.75">
      <c r="K1141" s="118"/>
      <c r="L1141" s="118"/>
      <c r="M1141" s="126"/>
      <c r="N1141" s="126"/>
      <c r="O1141" s="126"/>
      <c r="P1141" s="135"/>
      <c r="Q1141" s="135"/>
    </row>
    <row r="1142" spans="11:17" ht="12.75">
      <c r="K1142" s="118"/>
      <c r="L1142" s="118"/>
      <c r="M1142" s="126"/>
      <c r="N1142" s="126"/>
      <c r="O1142" s="126"/>
      <c r="P1142" s="135"/>
      <c r="Q1142" s="135"/>
    </row>
    <row r="1143" spans="11:17" ht="12.75">
      <c r="K1143" s="118"/>
      <c r="L1143" s="118"/>
      <c r="M1143" s="126"/>
      <c r="N1143" s="126"/>
      <c r="O1143" s="126"/>
      <c r="P1143" s="135"/>
      <c r="Q1143" s="135"/>
    </row>
    <row r="1144" spans="11:17" ht="12.75">
      <c r="K1144" s="118"/>
      <c r="L1144" s="118"/>
      <c r="M1144" s="126"/>
      <c r="N1144" s="126"/>
      <c r="O1144" s="126"/>
      <c r="P1144" s="135"/>
      <c r="Q1144" s="135"/>
    </row>
    <row r="1145" spans="11:17" ht="12.75">
      <c r="K1145" s="118"/>
      <c r="L1145" s="118"/>
      <c r="M1145" s="126"/>
      <c r="N1145" s="126"/>
      <c r="O1145" s="126"/>
      <c r="P1145" s="135"/>
      <c r="Q1145" s="135"/>
    </row>
    <row r="1146" spans="11:17" ht="12.75">
      <c r="K1146" s="118"/>
      <c r="L1146" s="118"/>
      <c r="M1146" s="126"/>
      <c r="N1146" s="126"/>
      <c r="O1146" s="126"/>
      <c r="P1146" s="135"/>
      <c r="Q1146" s="135"/>
    </row>
    <row r="1147" spans="11:17" ht="12.75">
      <c r="K1147" s="118"/>
      <c r="L1147" s="118"/>
      <c r="M1147" s="126"/>
      <c r="N1147" s="126"/>
      <c r="O1147" s="126"/>
      <c r="P1147" s="135"/>
      <c r="Q1147" s="135"/>
    </row>
    <row r="1148" spans="11:17" ht="12.75">
      <c r="K1148" s="118"/>
      <c r="L1148" s="118"/>
      <c r="M1148" s="126"/>
      <c r="N1148" s="126"/>
      <c r="O1148" s="126"/>
      <c r="P1148" s="135"/>
      <c r="Q1148" s="135"/>
    </row>
    <row r="1149" spans="11:17" ht="12.75">
      <c r="K1149" s="118"/>
      <c r="L1149" s="118"/>
      <c r="M1149" s="126"/>
      <c r="N1149" s="126"/>
      <c r="O1149" s="126"/>
      <c r="P1149" s="135"/>
      <c r="Q1149" s="135"/>
    </row>
    <row r="1150" spans="11:17" ht="12.75">
      <c r="K1150" s="118"/>
      <c r="L1150" s="118"/>
      <c r="M1150" s="126"/>
      <c r="N1150" s="126"/>
      <c r="O1150" s="126"/>
      <c r="P1150" s="135"/>
      <c r="Q1150" s="135"/>
    </row>
    <row r="1151" spans="11:17" ht="12.75">
      <c r="K1151" s="118"/>
      <c r="L1151" s="118"/>
      <c r="M1151" s="126"/>
      <c r="N1151" s="126"/>
      <c r="O1151" s="126"/>
      <c r="P1151" s="135"/>
      <c r="Q1151" s="135"/>
    </row>
    <row r="1152" spans="11:17" ht="12.75">
      <c r="K1152" s="118"/>
      <c r="L1152" s="118"/>
      <c r="M1152" s="126"/>
      <c r="N1152" s="126"/>
      <c r="O1152" s="126"/>
      <c r="P1152" s="135"/>
      <c r="Q1152" s="135"/>
    </row>
    <row r="1153" spans="11:17" ht="12.75">
      <c r="K1153" s="118"/>
      <c r="L1153" s="118"/>
      <c r="M1153" s="126"/>
      <c r="N1153" s="126"/>
      <c r="O1153" s="126"/>
      <c r="P1153" s="135"/>
      <c r="Q1153" s="135"/>
    </row>
    <row r="1154" spans="11:17" ht="12.75">
      <c r="K1154" s="118"/>
      <c r="L1154" s="118"/>
      <c r="M1154" s="126"/>
      <c r="N1154" s="126"/>
      <c r="O1154" s="126"/>
      <c r="P1154" s="135"/>
      <c r="Q1154" s="135"/>
    </row>
    <row r="1155" spans="11:17" ht="12.75">
      <c r="K1155" s="118"/>
      <c r="L1155" s="118"/>
      <c r="M1155" s="126"/>
      <c r="N1155" s="126"/>
      <c r="O1155" s="126"/>
      <c r="P1155" s="135"/>
      <c r="Q1155" s="135"/>
    </row>
    <row r="1156" spans="11:17" ht="12.75">
      <c r="K1156" s="118"/>
      <c r="L1156" s="118"/>
      <c r="M1156" s="126"/>
      <c r="N1156" s="126"/>
      <c r="O1156" s="126"/>
      <c r="P1156" s="135"/>
      <c r="Q1156" s="135"/>
    </row>
    <row r="1157" spans="11:17" ht="12.75">
      <c r="K1157" s="118"/>
      <c r="L1157" s="118"/>
      <c r="M1157" s="126"/>
      <c r="N1157" s="126"/>
      <c r="O1157" s="126"/>
      <c r="P1157" s="135"/>
      <c r="Q1157" s="135"/>
    </row>
    <row r="1158" spans="11:17" ht="12.75">
      <c r="K1158" s="118"/>
      <c r="L1158" s="118"/>
      <c r="M1158" s="126"/>
      <c r="N1158" s="126"/>
      <c r="O1158" s="126"/>
      <c r="P1158" s="135"/>
      <c r="Q1158" s="135"/>
    </row>
    <row r="1159" spans="11:17" ht="12.75">
      <c r="K1159" s="118"/>
      <c r="L1159" s="118"/>
      <c r="M1159" s="126"/>
      <c r="N1159" s="126"/>
      <c r="O1159" s="126"/>
      <c r="P1159" s="135"/>
      <c r="Q1159" s="135"/>
    </row>
    <row r="1160" spans="11:17" ht="12.75">
      <c r="K1160" s="118"/>
      <c r="L1160" s="118"/>
      <c r="M1160" s="126"/>
      <c r="N1160" s="126"/>
      <c r="O1160" s="126"/>
      <c r="P1160" s="135"/>
      <c r="Q1160" s="135"/>
    </row>
    <row r="1161" spans="11:17" ht="12.75">
      <c r="K1161" s="118"/>
      <c r="L1161" s="118"/>
      <c r="M1161" s="126"/>
      <c r="N1161" s="126"/>
      <c r="O1161" s="126"/>
      <c r="P1161" s="135"/>
      <c r="Q1161" s="135"/>
    </row>
    <row r="1162" spans="11:17" ht="12.75">
      <c r="K1162" s="118"/>
      <c r="L1162" s="118"/>
      <c r="M1162" s="126"/>
      <c r="N1162" s="126"/>
      <c r="O1162" s="126"/>
      <c r="P1162" s="135"/>
      <c r="Q1162" s="135"/>
    </row>
    <row r="1163" spans="11:17" ht="12.75">
      <c r="K1163" s="118"/>
      <c r="L1163" s="118"/>
      <c r="M1163" s="126"/>
      <c r="N1163" s="126"/>
      <c r="O1163" s="126"/>
      <c r="P1163" s="135"/>
      <c r="Q1163" s="135"/>
    </row>
    <row r="1164" spans="11:17" ht="12.75">
      <c r="K1164" s="118"/>
      <c r="L1164" s="118"/>
      <c r="M1164" s="126"/>
      <c r="N1164" s="126"/>
      <c r="O1164" s="126"/>
      <c r="P1164" s="135"/>
      <c r="Q1164" s="135"/>
    </row>
    <row r="1165" spans="11:17" ht="12.75">
      <c r="K1165" s="118"/>
      <c r="L1165" s="118"/>
      <c r="M1165" s="126"/>
      <c r="N1165" s="126"/>
      <c r="O1165" s="126"/>
      <c r="P1165" s="135"/>
      <c r="Q1165" s="135"/>
    </row>
    <row r="1166" spans="11:17" ht="12.75">
      <c r="K1166" s="118"/>
      <c r="L1166" s="118"/>
      <c r="M1166" s="126"/>
      <c r="N1166" s="126"/>
      <c r="O1166" s="126"/>
      <c r="P1166" s="135"/>
      <c r="Q1166" s="135"/>
    </row>
    <row r="1167" spans="11:17" ht="12.75">
      <c r="K1167" s="118"/>
      <c r="L1167" s="118"/>
      <c r="M1167" s="126"/>
      <c r="N1167" s="126"/>
      <c r="O1167" s="126"/>
      <c r="P1167" s="135"/>
      <c r="Q1167" s="135"/>
    </row>
    <row r="1168" spans="11:17" ht="12.75">
      <c r="K1168" s="118"/>
      <c r="L1168" s="118"/>
      <c r="M1168" s="126"/>
      <c r="N1168" s="126"/>
      <c r="O1168" s="126"/>
      <c r="P1168" s="135"/>
      <c r="Q1168" s="135"/>
    </row>
    <row r="1169" spans="11:17" ht="12.75">
      <c r="K1169" s="118"/>
      <c r="L1169" s="118"/>
      <c r="M1169" s="126"/>
      <c r="N1169" s="126"/>
      <c r="O1169" s="126"/>
      <c r="P1169" s="135"/>
      <c r="Q1169" s="135"/>
    </row>
    <row r="1170" spans="11:17" ht="12.75">
      <c r="K1170" s="118"/>
      <c r="L1170" s="118"/>
      <c r="M1170" s="126"/>
      <c r="N1170" s="126"/>
      <c r="O1170" s="126"/>
      <c r="P1170" s="135"/>
      <c r="Q1170" s="135"/>
    </row>
    <row r="1171" spans="11:17" ht="12.75">
      <c r="K1171" s="118"/>
      <c r="L1171" s="118"/>
      <c r="M1171" s="126"/>
      <c r="N1171" s="126"/>
      <c r="O1171" s="126"/>
      <c r="P1171" s="135"/>
      <c r="Q1171" s="135"/>
    </row>
    <row r="1172" spans="11:17" ht="12.75">
      <c r="K1172" s="118"/>
      <c r="L1172" s="118"/>
      <c r="M1172" s="126"/>
      <c r="N1172" s="126"/>
      <c r="O1172" s="126"/>
      <c r="P1172" s="135"/>
      <c r="Q1172" s="135"/>
    </row>
    <row r="1173" spans="11:17" ht="12.75">
      <c r="K1173" s="118"/>
      <c r="L1173" s="118"/>
      <c r="M1173" s="126"/>
      <c r="N1173" s="126"/>
      <c r="O1173" s="126"/>
      <c r="P1173" s="135"/>
      <c r="Q1173" s="135"/>
    </row>
    <row r="1174" spans="11:17" ht="12.75">
      <c r="K1174" s="118"/>
      <c r="L1174" s="118"/>
      <c r="M1174" s="126"/>
      <c r="N1174" s="126"/>
      <c r="O1174" s="126"/>
      <c r="P1174" s="135"/>
      <c r="Q1174" s="135"/>
    </row>
    <row r="1175" spans="11:17" ht="12.75">
      <c r="K1175" s="118"/>
      <c r="L1175" s="118"/>
      <c r="M1175" s="126"/>
      <c r="N1175" s="126"/>
      <c r="O1175" s="126"/>
      <c r="P1175" s="135"/>
      <c r="Q1175" s="135"/>
    </row>
    <row r="1176" spans="11:17" ht="12.75">
      <c r="K1176" s="118"/>
      <c r="L1176" s="118"/>
      <c r="M1176" s="126"/>
      <c r="N1176" s="126"/>
      <c r="O1176" s="126"/>
      <c r="P1176" s="135"/>
      <c r="Q1176" s="135"/>
    </row>
    <row r="1177" spans="11:17" ht="12.75">
      <c r="K1177" s="118"/>
      <c r="L1177" s="118"/>
      <c r="M1177" s="126"/>
      <c r="N1177" s="126"/>
      <c r="O1177" s="126"/>
      <c r="P1177" s="135"/>
      <c r="Q1177" s="135"/>
    </row>
    <row r="1178" spans="11:17" ht="12.75">
      <c r="K1178" s="118"/>
      <c r="L1178" s="118"/>
      <c r="M1178" s="126"/>
      <c r="N1178" s="126"/>
      <c r="O1178" s="126"/>
      <c r="P1178" s="135"/>
      <c r="Q1178" s="135"/>
    </row>
    <row r="1179" spans="11:17" ht="12.75">
      <c r="K1179" s="118"/>
      <c r="L1179" s="118"/>
      <c r="M1179" s="126"/>
      <c r="N1179" s="126"/>
      <c r="O1179" s="126"/>
      <c r="P1179" s="135"/>
      <c r="Q1179" s="135"/>
    </row>
    <row r="1180" spans="11:17" ht="12.75">
      <c r="K1180" s="118"/>
      <c r="L1180" s="118"/>
      <c r="M1180" s="126"/>
      <c r="N1180" s="126"/>
      <c r="O1180" s="126"/>
      <c r="P1180" s="135"/>
      <c r="Q1180" s="135"/>
    </row>
    <row r="1181" spans="11:17" ht="12.75">
      <c r="K1181" s="118"/>
      <c r="L1181" s="118"/>
      <c r="M1181" s="126"/>
      <c r="N1181" s="126"/>
      <c r="O1181" s="126"/>
      <c r="P1181" s="135"/>
      <c r="Q1181" s="135"/>
    </row>
    <row r="1182" spans="11:17" ht="12.75">
      <c r="K1182" s="118"/>
      <c r="L1182" s="118"/>
      <c r="M1182" s="126"/>
      <c r="N1182" s="126"/>
      <c r="O1182" s="126"/>
      <c r="P1182" s="135"/>
      <c r="Q1182" s="135"/>
    </row>
    <row r="1183" spans="11:17" ht="12.75">
      <c r="K1183" s="118"/>
      <c r="L1183" s="118"/>
      <c r="M1183" s="126"/>
      <c r="N1183" s="126"/>
      <c r="O1183" s="126"/>
      <c r="P1183" s="135"/>
      <c r="Q1183" s="135"/>
    </row>
    <row r="1184" spans="11:17" ht="12.75">
      <c r="K1184" s="118"/>
      <c r="L1184" s="118"/>
      <c r="M1184" s="126"/>
      <c r="N1184" s="126"/>
      <c r="O1184" s="126"/>
      <c r="P1184" s="135"/>
      <c r="Q1184" s="135"/>
    </row>
    <row r="1185" spans="11:17" ht="12.75">
      <c r="K1185" s="118"/>
      <c r="L1185" s="118"/>
      <c r="M1185" s="126"/>
      <c r="N1185" s="126"/>
      <c r="O1185" s="126"/>
      <c r="P1185" s="135"/>
      <c r="Q1185" s="135"/>
    </row>
    <row r="1186" spans="11:17" ht="12.75">
      <c r="K1186" s="118"/>
      <c r="L1186" s="118"/>
      <c r="M1186" s="126"/>
      <c r="N1186" s="126"/>
      <c r="O1186" s="126"/>
      <c r="P1186" s="135"/>
      <c r="Q1186" s="135"/>
    </row>
    <row r="1187" spans="11:17" ht="12.75">
      <c r="K1187" s="118"/>
      <c r="L1187" s="118"/>
      <c r="M1187" s="126"/>
      <c r="N1187" s="126"/>
      <c r="O1187" s="126"/>
      <c r="P1187" s="135"/>
      <c r="Q1187" s="135"/>
    </row>
    <row r="1188" spans="11:17" ht="12.75">
      <c r="K1188" s="118"/>
      <c r="L1188" s="118"/>
      <c r="M1188" s="126"/>
      <c r="N1188" s="126"/>
      <c r="O1188" s="126"/>
      <c r="P1188" s="135"/>
      <c r="Q1188" s="135"/>
    </row>
    <row r="1189" spans="11:17" ht="12.75">
      <c r="K1189" s="118"/>
      <c r="L1189" s="118"/>
      <c r="M1189" s="126"/>
      <c r="N1189" s="126"/>
      <c r="O1189" s="126"/>
      <c r="P1189" s="135"/>
      <c r="Q1189" s="135"/>
    </row>
    <row r="1190" spans="11:17" ht="12.75">
      <c r="K1190" s="118"/>
      <c r="L1190" s="118"/>
      <c r="M1190" s="126"/>
      <c r="N1190" s="126"/>
      <c r="O1190" s="126"/>
      <c r="P1190" s="135"/>
      <c r="Q1190" s="135"/>
    </row>
    <row r="1191" spans="11:17" ht="12.75">
      <c r="K1191" s="118"/>
      <c r="L1191" s="118"/>
      <c r="M1191" s="126"/>
      <c r="N1191" s="126"/>
      <c r="O1191" s="126"/>
      <c r="P1191" s="135"/>
      <c r="Q1191" s="135"/>
    </row>
    <row r="1192" spans="11:17" ht="12.75">
      <c r="K1192" s="118"/>
      <c r="L1192" s="118"/>
      <c r="M1192" s="126"/>
      <c r="N1192" s="126"/>
      <c r="O1192" s="126"/>
      <c r="P1192" s="135"/>
      <c r="Q1192" s="135"/>
    </row>
    <row r="1193" spans="11:17" ht="12.75">
      <c r="K1193" s="118"/>
      <c r="L1193" s="118"/>
      <c r="M1193" s="126"/>
      <c r="N1193" s="126"/>
      <c r="O1193" s="126"/>
      <c r="P1193" s="135"/>
      <c r="Q1193" s="135"/>
    </row>
    <row r="1194" spans="11:17" ht="12.75">
      <c r="K1194" s="118"/>
      <c r="L1194" s="118"/>
      <c r="M1194" s="126"/>
      <c r="N1194" s="126"/>
      <c r="O1194" s="126"/>
      <c r="P1194" s="135"/>
      <c r="Q1194" s="135"/>
    </row>
    <row r="1195" spans="11:17" ht="12.75">
      <c r="K1195" s="118"/>
      <c r="L1195" s="118"/>
      <c r="M1195" s="126"/>
      <c r="N1195" s="126"/>
      <c r="O1195" s="126"/>
      <c r="P1195" s="135"/>
      <c r="Q1195" s="135"/>
    </row>
    <row r="1196" spans="11:17" ht="12.75">
      <c r="K1196" s="118"/>
      <c r="L1196" s="118"/>
      <c r="M1196" s="126"/>
      <c r="N1196" s="126"/>
      <c r="O1196" s="126"/>
      <c r="P1196" s="135"/>
      <c r="Q1196" s="135"/>
    </row>
    <row r="1197" spans="11:17" ht="12.75">
      <c r="K1197" s="118"/>
      <c r="L1197" s="118"/>
      <c r="M1197" s="126"/>
      <c r="N1197" s="126"/>
      <c r="O1197" s="126"/>
      <c r="P1197" s="135"/>
      <c r="Q1197" s="135"/>
    </row>
    <row r="1198" spans="11:17" ht="12.75">
      <c r="K1198" s="118"/>
      <c r="L1198" s="118"/>
      <c r="M1198" s="126"/>
      <c r="N1198" s="126"/>
      <c r="O1198" s="126"/>
      <c r="P1198" s="135"/>
      <c r="Q1198" s="135"/>
    </row>
    <row r="1199" spans="11:17" ht="12.75">
      <c r="K1199" s="118"/>
      <c r="L1199" s="118"/>
      <c r="M1199" s="126"/>
      <c r="N1199" s="126"/>
      <c r="O1199" s="126"/>
      <c r="P1199" s="135"/>
      <c r="Q1199" s="135"/>
    </row>
    <row r="1200" spans="11:17" ht="12.75">
      <c r="K1200" s="118"/>
      <c r="L1200" s="118"/>
      <c r="M1200" s="126"/>
      <c r="N1200" s="126"/>
      <c r="O1200" s="126"/>
      <c r="P1200" s="135"/>
      <c r="Q1200" s="135"/>
    </row>
    <row r="1201" spans="11:17" ht="12.75">
      <c r="K1201" s="118"/>
      <c r="L1201" s="118"/>
      <c r="M1201" s="126"/>
      <c r="N1201" s="126"/>
      <c r="O1201" s="126"/>
      <c r="P1201" s="135"/>
      <c r="Q1201" s="135"/>
    </row>
    <row r="1202" spans="11:17" ht="12.75">
      <c r="K1202" s="118"/>
      <c r="L1202" s="118"/>
      <c r="M1202" s="126"/>
      <c r="N1202" s="126"/>
      <c r="O1202" s="126"/>
      <c r="P1202" s="135"/>
      <c r="Q1202" s="135"/>
    </row>
    <row r="1203" spans="11:17" ht="12.75">
      <c r="K1203" s="118"/>
      <c r="L1203" s="118"/>
      <c r="M1203" s="126"/>
      <c r="N1203" s="126"/>
      <c r="O1203" s="126"/>
      <c r="P1203" s="135"/>
      <c r="Q1203" s="135"/>
    </row>
    <row r="1204" spans="11:17" ht="12.75">
      <c r="K1204" s="118"/>
      <c r="L1204" s="118"/>
      <c r="M1204" s="126"/>
      <c r="N1204" s="126"/>
      <c r="O1204" s="126"/>
      <c r="P1204" s="135"/>
      <c r="Q1204" s="135"/>
    </row>
    <row r="1205" spans="11:17" ht="12.75">
      <c r="K1205" s="118"/>
      <c r="L1205" s="118"/>
      <c r="M1205" s="126"/>
      <c r="N1205" s="126"/>
      <c r="O1205" s="126"/>
      <c r="P1205" s="135"/>
      <c r="Q1205" s="135"/>
    </row>
    <row r="1206" spans="11:17" ht="12.75">
      <c r="K1206" s="118"/>
      <c r="L1206" s="118"/>
      <c r="M1206" s="126"/>
      <c r="N1206" s="126"/>
      <c r="O1206" s="126"/>
      <c r="P1206" s="135"/>
      <c r="Q1206" s="135"/>
    </row>
    <row r="1207" spans="11:17" ht="12.75">
      <c r="K1207" s="118"/>
      <c r="L1207" s="118"/>
      <c r="M1207" s="126"/>
      <c r="N1207" s="126"/>
      <c r="O1207" s="126"/>
      <c r="P1207" s="135"/>
      <c r="Q1207" s="135"/>
    </row>
    <row r="1208" spans="11:17" ht="12.75">
      <c r="K1208" s="118"/>
      <c r="L1208" s="118"/>
      <c r="M1208" s="126"/>
      <c r="N1208" s="126"/>
      <c r="O1208" s="126"/>
      <c r="P1208" s="135"/>
      <c r="Q1208" s="135"/>
    </row>
    <row r="1209" spans="11:17" ht="12.75">
      <c r="K1209" s="118"/>
      <c r="L1209" s="118"/>
      <c r="M1209" s="126"/>
      <c r="N1209" s="126"/>
      <c r="O1209" s="126"/>
      <c r="P1209" s="135"/>
      <c r="Q1209" s="135"/>
    </row>
    <row r="1210" spans="11:17" ht="12.75">
      <c r="K1210" s="118"/>
      <c r="L1210" s="118"/>
      <c r="M1210" s="126"/>
      <c r="N1210" s="126"/>
      <c r="O1210" s="126"/>
      <c r="P1210" s="135"/>
      <c r="Q1210" s="135"/>
    </row>
    <row r="1211" spans="11:17" ht="12.75">
      <c r="K1211" s="118"/>
      <c r="L1211" s="118"/>
      <c r="M1211" s="126"/>
      <c r="N1211" s="126"/>
      <c r="O1211" s="126"/>
      <c r="P1211" s="135"/>
      <c r="Q1211" s="135"/>
    </row>
    <row r="1212" spans="11:17" ht="12.75">
      <c r="K1212" s="118"/>
      <c r="L1212" s="118"/>
      <c r="M1212" s="126"/>
      <c r="N1212" s="126"/>
      <c r="O1212" s="126"/>
      <c r="P1212" s="135"/>
      <c r="Q1212" s="135"/>
    </row>
    <row r="1213" spans="11:17" ht="12.75">
      <c r="K1213" s="118"/>
      <c r="L1213" s="118"/>
      <c r="M1213" s="126"/>
      <c r="N1213" s="126"/>
      <c r="O1213" s="126"/>
      <c r="P1213" s="135"/>
      <c r="Q1213" s="135"/>
    </row>
    <row r="1214" spans="11:17" ht="12.75">
      <c r="K1214" s="118"/>
      <c r="L1214" s="118"/>
      <c r="M1214" s="126"/>
      <c r="N1214" s="126"/>
      <c r="O1214" s="126"/>
      <c r="P1214" s="135"/>
      <c r="Q1214" s="135"/>
    </row>
    <row r="1215" spans="11:17" ht="12.75">
      <c r="K1215" s="118"/>
      <c r="L1215" s="118"/>
      <c r="M1215" s="126"/>
      <c r="N1215" s="126"/>
      <c r="O1215" s="126"/>
      <c r="P1215" s="135"/>
      <c r="Q1215" s="135"/>
    </row>
    <row r="1216" spans="11:17" ht="12.75">
      <c r="K1216" s="118"/>
      <c r="L1216" s="118"/>
      <c r="M1216" s="126"/>
      <c r="N1216" s="126"/>
      <c r="O1216" s="126"/>
      <c r="P1216" s="135"/>
      <c r="Q1216" s="135"/>
    </row>
    <row r="1217" spans="11:17" ht="12.75">
      <c r="K1217" s="118"/>
      <c r="L1217" s="118"/>
      <c r="M1217" s="126"/>
      <c r="N1217" s="126"/>
      <c r="O1217" s="126"/>
      <c r="P1217" s="135"/>
      <c r="Q1217" s="135"/>
    </row>
    <row r="1218" spans="11:17" ht="12.75">
      <c r="K1218" s="118"/>
      <c r="L1218" s="118"/>
      <c r="M1218" s="126"/>
      <c r="N1218" s="126"/>
      <c r="O1218" s="126"/>
      <c r="P1218" s="135"/>
      <c r="Q1218" s="135"/>
    </row>
    <row r="1219" spans="11:17" ht="12.75">
      <c r="K1219" s="118"/>
      <c r="L1219" s="118"/>
      <c r="M1219" s="126"/>
      <c r="N1219" s="126"/>
      <c r="O1219" s="126"/>
      <c r="P1219" s="135"/>
      <c r="Q1219" s="135"/>
    </row>
    <row r="1220" spans="11:17" ht="12.75">
      <c r="K1220" s="118"/>
      <c r="L1220" s="118"/>
      <c r="M1220" s="126"/>
      <c r="N1220" s="126"/>
      <c r="O1220" s="126"/>
      <c r="P1220" s="135"/>
      <c r="Q1220" s="135"/>
    </row>
    <row r="1221" spans="11:17" ht="12.75">
      <c r="K1221" s="118"/>
      <c r="L1221" s="118"/>
      <c r="M1221" s="126"/>
      <c r="N1221" s="126"/>
      <c r="O1221" s="126"/>
      <c r="P1221" s="135"/>
      <c r="Q1221" s="135"/>
    </row>
    <row r="1222" spans="11:17" ht="12.75">
      <c r="K1222" s="118"/>
      <c r="L1222" s="118"/>
      <c r="M1222" s="126"/>
      <c r="N1222" s="126"/>
      <c r="O1222" s="126"/>
      <c r="P1222" s="135"/>
      <c r="Q1222" s="135"/>
    </row>
    <row r="1223" spans="11:17" ht="12.75">
      <c r="K1223" s="118"/>
      <c r="L1223" s="118"/>
      <c r="M1223" s="126"/>
      <c r="N1223" s="126"/>
      <c r="O1223" s="126"/>
      <c r="P1223" s="135"/>
      <c r="Q1223" s="135"/>
    </row>
    <row r="1224" spans="11:17" ht="12.75">
      <c r="K1224" s="118"/>
      <c r="L1224" s="118"/>
      <c r="M1224" s="126"/>
      <c r="N1224" s="126"/>
      <c r="O1224" s="126"/>
      <c r="P1224" s="135"/>
      <c r="Q1224" s="135"/>
    </row>
    <row r="1225" spans="11:17" ht="12.75">
      <c r="K1225" s="118"/>
      <c r="L1225" s="118"/>
      <c r="M1225" s="126"/>
      <c r="N1225" s="126"/>
      <c r="O1225" s="126"/>
      <c r="P1225" s="135"/>
      <c r="Q1225" s="135"/>
    </row>
    <row r="1226" spans="11:17" ht="12.75">
      <c r="K1226" s="118"/>
      <c r="L1226" s="118"/>
      <c r="M1226" s="126"/>
      <c r="N1226" s="126"/>
      <c r="O1226" s="126"/>
      <c r="P1226" s="135"/>
      <c r="Q1226" s="135"/>
    </row>
    <row r="1227" spans="11:17" ht="12.75">
      <c r="K1227" s="118"/>
      <c r="L1227" s="118"/>
      <c r="M1227" s="126"/>
      <c r="N1227" s="126"/>
      <c r="O1227" s="126"/>
      <c r="P1227" s="135"/>
      <c r="Q1227" s="135"/>
    </row>
    <row r="1228" spans="11:17" ht="12.75">
      <c r="K1228" s="118"/>
      <c r="L1228" s="118"/>
      <c r="M1228" s="126"/>
      <c r="N1228" s="126"/>
      <c r="O1228" s="126"/>
      <c r="P1228" s="135"/>
      <c r="Q1228" s="135"/>
    </row>
    <row r="1229" spans="11:17" ht="12.75">
      <c r="K1229" s="118"/>
      <c r="L1229" s="118"/>
      <c r="M1229" s="126"/>
      <c r="N1229" s="126"/>
      <c r="O1229" s="126"/>
      <c r="P1229" s="135"/>
      <c r="Q1229" s="135"/>
    </row>
    <row r="1230" spans="11:17" ht="12.75">
      <c r="K1230" s="118"/>
      <c r="L1230" s="118"/>
      <c r="M1230" s="126"/>
      <c r="N1230" s="126"/>
      <c r="O1230" s="126"/>
      <c r="P1230" s="135"/>
      <c r="Q1230" s="135"/>
    </row>
    <row r="1231" spans="11:17" ht="12.75">
      <c r="K1231" s="118"/>
      <c r="L1231" s="118"/>
      <c r="M1231" s="126"/>
      <c r="N1231" s="126"/>
      <c r="O1231" s="126"/>
      <c r="P1231" s="135"/>
      <c r="Q1231" s="135"/>
    </row>
    <row r="1232" spans="11:17" ht="12.75">
      <c r="K1232" s="118"/>
      <c r="L1232" s="118"/>
      <c r="M1232" s="126"/>
      <c r="N1232" s="126"/>
      <c r="O1232" s="126"/>
      <c r="P1232" s="135"/>
      <c r="Q1232" s="135"/>
    </row>
    <row r="1233" spans="11:17" ht="12.75">
      <c r="K1233" s="118"/>
      <c r="L1233" s="118"/>
      <c r="M1233" s="126"/>
      <c r="N1233" s="126"/>
      <c r="O1233" s="126"/>
      <c r="P1233" s="135"/>
      <c r="Q1233" s="135"/>
    </row>
    <row r="1234" spans="11:17" ht="12.75">
      <c r="K1234" s="118"/>
      <c r="L1234" s="118"/>
      <c r="M1234" s="126"/>
      <c r="N1234" s="126"/>
      <c r="O1234" s="126"/>
      <c r="P1234" s="135"/>
      <c r="Q1234" s="135"/>
    </row>
    <row r="1235" spans="11:17" ht="12.75">
      <c r="K1235" s="118"/>
      <c r="L1235" s="118"/>
      <c r="M1235" s="126"/>
      <c r="N1235" s="126"/>
      <c r="O1235" s="126"/>
      <c r="P1235" s="135"/>
      <c r="Q1235" s="135"/>
    </row>
    <row r="1236" spans="11:17" ht="12.75">
      <c r="K1236" s="118"/>
      <c r="L1236" s="118"/>
      <c r="M1236" s="126"/>
      <c r="N1236" s="126"/>
      <c r="O1236" s="126"/>
      <c r="P1236" s="135"/>
      <c r="Q1236" s="135"/>
    </row>
    <row r="1237" spans="11:17" ht="12.75">
      <c r="K1237" s="118"/>
      <c r="L1237" s="118"/>
      <c r="M1237" s="126"/>
      <c r="N1237" s="126"/>
      <c r="O1237" s="126"/>
      <c r="P1237" s="135"/>
      <c r="Q1237" s="135"/>
    </row>
    <row r="1238" spans="11:17" ht="12.75">
      <c r="K1238" s="118"/>
      <c r="L1238" s="118"/>
      <c r="M1238" s="126"/>
      <c r="N1238" s="126"/>
      <c r="O1238" s="126"/>
      <c r="P1238" s="135"/>
      <c r="Q1238" s="135"/>
    </row>
    <row r="1239" spans="11:17" ht="12.75">
      <c r="K1239" s="118"/>
      <c r="L1239" s="118"/>
      <c r="M1239" s="126"/>
      <c r="N1239" s="126"/>
      <c r="O1239" s="126"/>
      <c r="P1239" s="135"/>
      <c r="Q1239" s="135"/>
    </row>
    <row r="1240" spans="11:17" ht="12.75">
      <c r="K1240" s="118"/>
      <c r="L1240" s="118"/>
      <c r="M1240" s="126"/>
      <c r="N1240" s="126"/>
      <c r="O1240" s="126"/>
      <c r="P1240" s="135"/>
      <c r="Q1240" s="135"/>
    </row>
    <row r="1241" spans="11:17" ht="12.75">
      <c r="K1241" s="118"/>
      <c r="L1241" s="118"/>
      <c r="M1241" s="126"/>
      <c r="N1241" s="126"/>
      <c r="O1241" s="126"/>
      <c r="P1241" s="135"/>
      <c r="Q1241" s="135"/>
    </row>
    <row r="1242" spans="11:17" ht="12.75">
      <c r="K1242" s="118"/>
      <c r="L1242" s="118"/>
      <c r="M1242" s="126"/>
      <c r="N1242" s="126"/>
      <c r="O1242" s="126"/>
      <c r="P1242" s="135"/>
      <c r="Q1242" s="135"/>
    </row>
    <row r="1243" spans="11:17" ht="12.75">
      <c r="K1243" s="118"/>
      <c r="L1243" s="118"/>
      <c r="M1243" s="126"/>
      <c r="N1243" s="126"/>
      <c r="O1243" s="126"/>
      <c r="P1243" s="135"/>
      <c r="Q1243" s="135"/>
    </row>
    <row r="1244" spans="11:17" ht="12.75">
      <c r="K1244" s="118"/>
      <c r="L1244" s="118"/>
      <c r="M1244" s="126"/>
      <c r="N1244" s="126"/>
      <c r="O1244" s="126"/>
      <c r="P1244" s="135"/>
      <c r="Q1244" s="135"/>
    </row>
    <row r="1245" spans="11:17" ht="12.75">
      <c r="K1245" s="118"/>
      <c r="L1245" s="118"/>
      <c r="M1245" s="126"/>
      <c r="N1245" s="126"/>
      <c r="O1245" s="126"/>
      <c r="P1245" s="135"/>
      <c r="Q1245" s="135"/>
    </row>
    <row r="1246" spans="11:17" ht="12.75">
      <c r="K1246" s="118"/>
      <c r="L1246" s="118"/>
      <c r="M1246" s="126"/>
      <c r="N1246" s="126"/>
      <c r="O1246" s="126"/>
      <c r="P1246" s="135"/>
      <c r="Q1246" s="135"/>
    </row>
    <row r="1247" spans="11:17" ht="12.75">
      <c r="K1247" s="118"/>
      <c r="L1247" s="118"/>
      <c r="M1247" s="126"/>
      <c r="N1247" s="126"/>
      <c r="O1247" s="126"/>
      <c r="P1247" s="135"/>
      <c r="Q1247" s="135"/>
    </row>
    <row r="1248" spans="11:17" ht="12.75">
      <c r="K1248" s="118"/>
      <c r="L1248" s="118"/>
      <c r="M1248" s="126"/>
      <c r="N1248" s="126"/>
      <c r="O1248" s="126"/>
      <c r="P1248" s="135"/>
      <c r="Q1248" s="135"/>
    </row>
    <row r="1249" spans="11:17" ht="12.75">
      <c r="K1249" s="118"/>
      <c r="L1249" s="118"/>
      <c r="M1249" s="126"/>
      <c r="N1249" s="126"/>
      <c r="O1249" s="126"/>
      <c r="P1249" s="135"/>
      <c r="Q1249" s="135"/>
    </row>
    <row r="1250" spans="11:17" ht="12.75">
      <c r="K1250" s="118"/>
      <c r="L1250" s="118"/>
      <c r="M1250" s="126"/>
      <c r="N1250" s="126"/>
      <c r="O1250" s="126"/>
      <c r="P1250" s="135"/>
      <c r="Q1250" s="135"/>
    </row>
    <row r="1251" spans="11:17" ht="12.75">
      <c r="K1251" s="118"/>
      <c r="L1251" s="118"/>
      <c r="M1251" s="126"/>
      <c r="N1251" s="126"/>
      <c r="O1251" s="126"/>
      <c r="P1251" s="135"/>
      <c r="Q1251" s="135"/>
    </row>
    <row r="1252" spans="11:17" ht="12.75">
      <c r="K1252" s="118"/>
      <c r="L1252" s="118"/>
      <c r="M1252" s="126"/>
      <c r="N1252" s="126"/>
      <c r="O1252" s="126"/>
      <c r="P1252" s="135"/>
      <c r="Q1252" s="135"/>
    </row>
    <row r="1253" spans="11:17" ht="12.75">
      <c r="K1253" s="118"/>
      <c r="L1253" s="118"/>
      <c r="M1253" s="126"/>
      <c r="N1253" s="126"/>
      <c r="O1253" s="126"/>
      <c r="P1253" s="135"/>
      <c r="Q1253" s="135"/>
    </row>
    <row r="1254" spans="11:17" ht="12.75">
      <c r="K1254" s="118"/>
      <c r="L1254" s="118"/>
      <c r="M1254" s="126"/>
      <c r="N1254" s="126"/>
      <c r="O1254" s="126"/>
      <c r="P1254" s="135"/>
      <c r="Q1254" s="135"/>
    </row>
    <row r="1255" spans="11:17" ht="12.75">
      <c r="K1255" s="118"/>
      <c r="L1255" s="118"/>
      <c r="M1255" s="126"/>
      <c r="N1255" s="126"/>
      <c r="O1255" s="126"/>
      <c r="P1255" s="135"/>
      <c r="Q1255" s="135"/>
    </row>
    <row r="1256" spans="11:17" ht="12.75">
      <c r="K1256" s="118"/>
      <c r="L1256" s="118"/>
      <c r="M1256" s="126"/>
      <c r="N1256" s="126"/>
      <c r="O1256" s="126"/>
      <c r="P1256" s="135"/>
      <c r="Q1256" s="135"/>
    </row>
    <row r="1257" spans="11:17" ht="12.75">
      <c r="K1257" s="118"/>
      <c r="L1257" s="118"/>
      <c r="M1257" s="126"/>
      <c r="N1257" s="126"/>
      <c r="O1257" s="126"/>
      <c r="P1257" s="135"/>
      <c r="Q1257" s="135"/>
    </row>
    <row r="1258" spans="11:17" ht="12.75">
      <c r="K1258" s="118"/>
      <c r="L1258" s="118"/>
      <c r="M1258" s="126"/>
      <c r="N1258" s="126"/>
      <c r="O1258" s="126"/>
      <c r="P1258" s="135"/>
      <c r="Q1258" s="135"/>
    </row>
    <row r="1259" spans="11:17" ht="12.75">
      <c r="K1259" s="118"/>
      <c r="L1259" s="118"/>
      <c r="M1259" s="126"/>
      <c r="N1259" s="126"/>
      <c r="O1259" s="126"/>
      <c r="P1259" s="135"/>
      <c r="Q1259" s="135"/>
    </row>
    <row r="1260" spans="11:17" ht="12.75">
      <c r="K1260" s="118"/>
      <c r="L1260" s="118"/>
      <c r="M1260" s="126"/>
      <c r="N1260" s="126"/>
      <c r="O1260" s="126"/>
      <c r="P1260" s="135"/>
      <c r="Q1260" s="135"/>
    </row>
    <row r="1261" spans="11:17" ht="12.75">
      <c r="K1261" s="118"/>
      <c r="L1261" s="118"/>
      <c r="M1261" s="126"/>
      <c r="N1261" s="126"/>
      <c r="O1261" s="126"/>
      <c r="P1261" s="135"/>
      <c r="Q1261" s="135"/>
    </row>
    <row r="1262" spans="11:17" ht="12.75">
      <c r="K1262" s="118"/>
      <c r="L1262" s="118"/>
      <c r="M1262" s="126"/>
      <c r="N1262" s="126"/>
      <c r="O1262" s="126"/>
      <c r="P1262" s="135"/>
      <c r="Q1262" s="135"/>
    </row>
    <row r="1263" spans="11:17" ht="12.75">
      <c r="K1263" s="118"/>
      <c r="L1263" s="118"/>
      <c r="M1263" s="126"/>
      <c r="N1263" s="126"/>
      <c r="O1263" s="126"/>
      <c r="P1263" s="135"/>
      <c r="Q1263" s="135"/>
    </row>
    <row r="1264" spans="11:17" ht="12.75">
      <c r="K1264" s="118"/>
      <c r="L1264" s="118"/>
      <c r="M1264" s="126"/>
      <c r="N1264" s="126"/>
      <c r="O1264" s="126"/>
      <c r="P1264" s="135"/>
      <c r="Q1264" s="135"/>
    </row>
    <row r="1265" spans="11:17" ht="12.75">
      <c r="K1265" s="118"/>
      <c r="L1265" s="118"/>
      <c r="M1265" s="126"/>
      <c r="N1265" s="126"/>
      <c r="O1265" s="126"/>
      <c r="P1265" s="135"/>
      <c r="Q1265" s="135"/>
    </row>
    <row r="1266" spans="11:17" ht="12.75">
      <c r="K1266" s="118"/>
      <c r="L1266" s="118"/>
      <c r="M1266" s="126"/>
      <c r="N1266" s="126"/>
      <c r="O1266" s="126"/>
      <c r="P1266" s="135"/>
      <c r="Q1266" s="135"/>
    </row>
    <row r="1267" spans="11:17" ht="12.75">
      <c r="K1267" s="118"/>
      <c r="L1267" s="118"/>
      <c r="M1267" s="126"/>
      <c r="N1267" s="126"/>
      <c r="O1267" s="126"/>
      <c r="P1267" s="135"/>
      <c r="Q1267" s="135"/>
    </row>
    <row r="1268" spans="11:17" ht="12.75">
      <c r="K1268" s="118"/>
      <c r="L1268" s="118"/>
      <c r="M1268" s="126"/>
      <c r="N1268" s="126"/>
      <c r="O1268" s="126"/>
      <c r="P1268" s="135"/>
      <c r="Q1268" s="135"/>
    </row>
    <row r="1269" spans="11:17" ht="12.75">
      <c r="K1269" s="118"/>
      <c r="L1269" s="118"/>
      <c r="M1269" s="126"/>
      <c r="N1269" s="126"/>
      <c r="O1269" s="126"/>
      <c r="P1269" s="135"/>
      <c r="Q1269" s="135"/>
    </row>
    <row r="1270" spans="11:17" ht="12.75">
      <c r="K1270" s="118"/>
      <c r="L1270" s="118"/>
      <c r="M1270" s="126"/>
      <c r="N1270" s="126"/>
      <c r="O1270" s="126"/>
      <c r="P1270" s="135"/>
      <c r="Q1270" s="135"/>
    </row>
    <row r="1271" spans="11:17" ht="12.75">
      <c r="K1271" s="118"/>
      <c r="L1271" s="118"/>
      <c r="M1271" s="126"/>
      <c r="N1271" s="126"/>
      <c r="O1271" s="126"/>
      <c r="P1271" s="135"/>
      <c r="Q1271" s="135"/>
    </row>
    <row r="1272" spans="11:17" ht="12.75">
      <c r="K1272" s="118"/>
      <c r="L1272" s="118"/>
      <c r="M1272" s="126"/>
      <c r="N1272" s="126"/>
      <c r="O1272" s="126"/>
      <c r="P1272" s="135"/>
      <c r="Q1272" s="135"/>
    </row>
    <row r="1273" spans="11:17" ht="12.75">
      <c r="K1273" s="118"/>
      <c r="L1273" s="118"/>
      <c r="M1273" s="126"/>
      <c r="N1273" s="126"/>
      <c r="O1273" s="126"/>
      <c r="P1273" s="135"/>
      <c r="Q1273" s="135"/>
    </row>
    <row r="1274" spans="11:17" ht="12.75">
      <c r="K1274" s="118"/>
      <c r="L1274" s="118"/>
      <c r="M1274" s="126"/>
      <c r="N1274" s="126"/>
      <c r="O1274" s="126"/>
      <c r="P1274" s="135"/>
      <c r="Q1274" s="135"/>
    </row>
    <row r="1275" spans="11:17" ht="12.75">
      <c r="K1275" s="118"/>
      <c r="L1275" s="118"/>
      <c r="M1275" s="126"/>
      <c r="N1275" s="126"/>
      <c r="O1275" s="126"/>
      <c r="P1275" s="135"/>
      <c r="Q1275" s="135"/>
    </row>
    <row r="1276" spans="11:17" ht="12.75">
      <c r="K1276" s="118"/>
      <c r="L1276" s="118"/>
      <c r="M1276" s="126"/>
      <c r="N1276" s="126"/>
      <c r="O1276" s="126"/>
      <c r="P1276" s="135"/>
      <c r="Q1276" s="135"/>
    </row>
    <row r="1277" spans="11:17" ht="12.75">
      <c r="K1277" s="118"/>
      <c r="L1277" s="118"/>
      <c r="M1277" s="126"/>
      <c r="N1277" s="126"/>
      <c r="O1277" s="126"/>
      <c r="P1277" s="135"/>
      <c r="Q1277" s="135"/>
    </row>
    <row r="1278" spans="11:17" ht="12.75">
      <c r="K1278" s="118"/>
      <c r="L1278" s="118"/>
      <c r="M1278" s="126"/>
      <c r="N1278" s="126"/>
      <c r="O1278" s="126"/>
      <c r="P1278" s="135"/>
      <c r="Q1278" s="135"/>
    </row>
    <row r="1279" spans="11:17" ht="12.75">
      <c r="K1279" s="118"/>
      <c r="L1279" s="118"/>
      <c r="M1279" s="126"/>
      <c r="N1279" s="126"/>
      <c r="O1279" s="126"/>
      <c r="P1279" s="135"/>
      <c r="Q1279" s="135"/>
    </row>
    <row r="1280" spans="11:17" ht="12.75">
      <c r="K1280" s="118"/>
      <c r="L1280" s="118"/>
      <c r="M1280" s="126"/>
      <c r="N1280" s="126"/>
      <c r="O1280" s="126"/>
      <c r="P1280" s="135"/>
      <c r="Q1280" s="135"/>
    </row>
    <row r="1281" spans="11:17" ht="12.75">
      <c r="K1281" s="118"/>
      <c r="L1281" s="118"/>
      <c r="M1281" s="126"/>
      <c r="N1281" s="126"/>
      <c r="O1281" s="126"/>
      <c r="P1281" s="135"/>
      <c r="Q1281" s="135"/>
    </row>
    <row r="1282" spans="11:17" ht="12.75">
      <c r="K1282" s="118"/>
      <c r="L1282" s="118"/>
      <c r="M1282" s="126"/>
      <c r="N1282" s="126"/>
      <c r="O1282" s="126"/>
      <c r="P1282" s="135"/>
      <c r="Q1282" s="135"/>
    </row>
    <row r="1283" spans="11:17" ht="12.75">
      <c r="K1283" s="118"/>
      <c r="L1283" s="118"/>
      <c r="M1283" s="126"/>
      <c r="N1283" s="126"/>
      <c r="O1283" s="126"/>
      <c r="P1283" s="135"/>
      <c r="Q1283" s="135"/>
    </row>
    <row r="1284" spans="11:17" ht="12.75">
      <c r="K1284" s="118"/>
      <c r="L1284" s="118"/>
      <c r="M1284" s="126"/>
      <c r="N1284" s="126"/>
      <c r="O1284" s="126"/>
      <c r="P1284" s="135"/>
      <c r="Q1284" s="135"/>
    </row>
    <row r="1285" spans="11:17" ht="12.75">
      <c r="K1285" s="118"/>
      <c r="L1285" s="118"/>
      <c r="M1285" s="126"/>
      <c r="N1285" s="126"/>
      <c r="O1285" s="126"/>
      <c r="P1285" s="135"/>
      <c r="Q1285" s="135"/>
    </row>
    <row r="1286" spans="11:17" ht="12.75">
      <c r="K1286" s="118"/>
      <c r="L1286" s="118"/>
      <c r="M1286" s="126"/>
      <c r="N1286" s="126"/>
      <c r="O1286" s="126"/>
      <c r="P1286" s="135"/>
      <c r="Q1286" s="135"/>
    </row>
    <row r="1287" spans="11:17" ht="12.75">
      <c r="K1287" s="118"/>
      <c r="L1287" s="118"/>
      <c r="M1287" s="126"/>
      <c r="N1287" s="126"/>
      <c r="O1287" s="126"/>
      <c r="P1287" s="135"/>
      <c r="Q1287" s="135"/>
    </row>
    <row r="1288" spans="11:17" ht="12.75">
      <c r="K1288" s="118"/>
      <c r="L1288" s="118"/>
      <c r="M1288" s="126"/>
      <c r="N1288" s="126"/>
      <c r="O1288" s="126"/>
      <c r="P1288" s="135"/>
      <c r="Q1288" s="135"/>
    </row>
    <row r="1289" spans="11:17" ht="12.75">
      <c r="K1289" s="118"/>
      <c r="L1289" s="118"/>
      <c r="M1289" s="126"/>
      <c r="N1289" s="126"/>
      <c r="O1289" s="126"/>
      <c r="P1289" s="135"/>
      <c r="Q1289" s="135"/>
    </row>
    <row r="1290" spans="11:17" ht="12.75">
      <c r="K1290" s="118"/>
      <c r="L1290" s="118"/>
      <c r="M1290" s="126"/>
      <c r="N1290" s="126"/>
      <c r="O1290" s="126"/>
      <c r="P1290" s="135"/>
      <c r="Q1290" s="135"/>
    </row>
    <row r="1291" spans="11:17" ht="12.75">
      <c r="K1291" s="118"/>
      <c r="L1291" s="118"/>
      <c r="M1291" s="126"/>
      <c r="N1291" s="126"/>
      <c r="O1291" s="126"/>
      <c r="P1291" s="135"/>
      <c r="Q1291" s="135"/>
    </row>
    <row r="1292" spans="11:17" ht="12.75">
      <c r="K1292" s="118"/>
      <c r="L1292" s="118"/>
      <c r="M1292" s="126"/>
      <c r="N1292" s="126"/>
      <c r="O1292" s="126"/>
      <c r="P1292" s="135"/>
      <c r="Q1292" s="135"/>
    </row>
    <row r="1293" spans="11:17" ht="12.75">
      <c r="K1293" s="118"/>
      <c r="L1293" s="118"/>
      <c r="M1293" s="126"/>
      <c r="N1293" s="126"/>
      <c r="O1293" s="126"/>
      <c r="P1293" s="135"/>
      <c r="Q1293" s="135"/>
    </row>
    <row r="1294" spans="11:17" ht="12.75">
      <c r="K1294" s="118"/>
      <c r="L1294" s="118"/>
      <c r="M1294" s="126"/>
      <c r="N1294" s="126"/>
      <c r="O1294" s="126"/>
      <c r="P1294" s="135"/>
      <c r="Q1294" s="135"/>
    </row>
    <row r="1295" spans="11:17" ht="12.75">
      <c r="K1295" s="118"/>
      <c r="L1295" s="118"/>
      <c r="M1295" s="126"/>
      <c r="N1295" s="126"/>
      <c r="O1295" s="126"/>
      <c r="P1295" s="135"/>
      <c r="Q1295" s="135"/>
    </row>
    <row r="1296" spans="11:17" ht="12.75">
      <c r="K1296" s="118"/>
      <c r="L1296" s="118"/>
      <c r="M1296" s="126"/>
      <c r="N1296" s="126"/>
      <c r="O1296" s="126"/>
      <c r="P1296" s="135"/>
      <c r="Q1296" s="135"/>
    </row>
    <row r="1297" spans="11:17" ht="12.75">
      <c r="K1297" s="118"/>
      <c r="L1297" s="118"/>
      <c r="M1297" s="126"/>
      <c r="N1297" s="126"/>
      <c r="O1297" s="126"/>
      <c r="P1297" s="135"/>
      <c r="Q1297" s="135"/>
    </row>
    <row r="1298" spans="11:17" ht="12.75">
      <c r="K1298" s="118"/>
      <c r="L1298" s="118"/>
      <c r="M1298" s="126"/>
      <c r="N1298" s="126"/>
      <c r="O1298" s="126"/>
      <c r="P1298" s="135"/>
      <c r="Q1298" s="135"/>
    </row>
    <row r="1299" spans="11:17" ht="12.75">
      <c r="K1299" s="118"/>
      <c r="L1299" s="118"/>
      <c r="M1299" s="126"/>
      <c r="N1299" s="126"/>
      <c r="O1299" s="126"/>
      <c r="P1299" s="135"/>
      <c r="Q1299" s="135"/>
    </row>
    <row r="1300" spans="11:17" ht="12.75">
      <c r="K1300" s="118"/>
      <c r="L1300" s="118"/>
      <c r="M1300" s="126"/>
      <c r="N1300" s="126"/>
      <c r="O1300" s="126"/>
      <c r="P1300" s="135"/>
      <c r="Q1300" s="135"/>
    </row>
    <row r="1301" spans="11:17" ht="12.75">
      <c r="K1301" s="118"/>
      <c r="L1301" s="118"/>
      <c r="M1301" s="126"/>
      <c r="N1301" s="126"/>
      <c r="O1301" s="126"/>
      <c r="P1301" s="135"/>
      <c r="Q1301" s="135"/>
    </row>
    <row r="1302" spans="11:17" ht="12.75">
      <c r="K1302" s="118"/>
      <c r="L1302" s="118"/>
      <c r="M1302" s="126"/>
      <c r="N1302" s="126"/>
      <c r="O1302" s="126"/>
      <c r="P1302" s="135"/>
      <c r="Q1302" s="135"/>
    </row>
    <row r="1303" spans="11:17" ht="12.75">
      <c r="K1303" s="118"/>
      <c r="L1303" s="118"/>
      <c r="M1303" s="126"/>
      <c r="N1303" s="126"/>
      <c r="O1303" s="126"/>
      <c r="P1303" s="135"/>
      <c r="Q1303" s="135"/>
    </row>
    <row r="1304" spans="11:17" ht="12.75">
      <c r="K1304" s="118"/>
      <c r="L1304" s="118"/>
      <c r="M1304" s="126"/>
      <c r="N1304" s="126"/>
      <c r="O1304" s="126"/>
      <c r="P1304" s="135"/>
      <c r="Q1304" s="135"/>
    </row>
    <row r="1305" spans="11:17" ht="12.75">
      <c r="K1305" s="118"/>
      <c r="L1305" s="118"/>
      <c r="M1305" s="126"/>
      <c r="N1305" s="126"/>
      <c r="O1305" s="126"/>
      <c r="P1305" s="135"/>
      <c r="Q1305" s="135"/>
    </row>
    <row r="1306" spans="11:17" ht="12.75">
      <c r="K1306" s="118"/>
      <c r="L1306" s="118"/>
      <c r="M1306" s="126"/>
      <c r="N1306" s="126"/>
      <c r="O1306" s="126"/>
      <c r="P1306" s="135"/>
      <c r="Q1306" s="135"/>
    </row>
    <row r="1307" spans="11:17" ht="12.75">
      <c r="K1307" s="118"/>
      <c r="L1307" s="118"/>
      <c r="M1307" s="126"/>
      <c r="N1307" s="126"/>
      <c r="O1307" s="126"/>
      <c r="P1307" s="135"/>
      <c r="Q1307" s="135"/>
    </row>
    <row r="1308" spans="11:17" ht="12.75">
      <c r="K1308" s="118"/>
      <c r="L1308" s="118"/>
      <c r="M1308" s="126"/>
      <c r="N1308" s="126"/>
      <c r="O1308" s="126"/>
      <c r="P1308" s="135"/>
      <c r="Q1308" s="135"/>
    </row>
    <row r="1309" spans="11:17" ht="12.75">
      <c r="K1309" s="118"/>
      <c r="L1309" s="118"/>
      <c r="M1309" s="126"/>
      <c r="N1309" s="126"/>
      <c r="O1309" s="126"/>
      <c r="P1309" s="135"/>
      <c r="Q1309" s="135"/>
    </row>
    <row r="1310" spans="11:17" ht="12.75">
      <c r="K1310" s="118"/>
      <c r="L1310" s="118"/>
      <c r="M1310" s="126"/>
      <c r="N1310" s="126"/>
      <c r="O1310" s="126"/>
      <c r="P1310" s="135"/>
      <c r="Q1310" s="135"/>
    </row>
    <row r="1311" spans="11:17" ht="12.75">
      <c r="K1311" s="118"/>
      <c r="L1311" s="118"/>
      <c r="M1311" s="126"/>
      <c r="N1311" s="126"/>
      <c r="O1311" s="126"/>
      <c r="P1311" s="135"/>
      <c r="Q1311" s="135"/>
    </row>
    <row r="1312" spans="11:17" ht="12.75">
      <c r="K1312" s="118"/>
      <c r="L1312" s="118"/>
      <c r="M1312" s="126"/>
      <c r="N1312" s="126"/>
      <c r="O1312" s="126"/>
      <c r="P1312" s="135"/>
      <c r="Q1312" s="135"/>
    </row>
    <row r="1313" spans="11:17" ht="12.75">
      <c r="K1313" s="118"/>
      <c r="L1313" s="118"/>
      <c r="M1313" s="126"/>
      <c r="N1313" s="126"/>
      <c r="O1313" s="126"/>
      <c r="P1313" s="135"/>
      <c r="Q1313" s="135"/>
    </row>
    <row r="1314" spans="11:17" ht="12.75">
      <c r="K1314" s="118"/>
      <c r="L1314" s="118"/>
      <c r="M1314" s="126"/>
      <c r="N1314" s="126"/>
      <c r="O1314" s="126"/>
      <c r="P1314" s="135"/>
      <c r="Q1314" s="135"/>
    </row>
    <row r="1315" spans="11:17" ht="12.75">
      <c r="K1315" s="118"/>
      <c r="L1315" s="118"/>
      <c r="M1315" s="126"/>
      <c r="N1315" s="126"/>
      <c r="O1315" s="126"/>
      <c r="P1315" s="135"/>
      <c r="Q1315" s="135"/>
    </row>
    <row r="1316" spans="11:17" ht="12.75">
      <c r="K1316" s="118"/>
      <c r="L1316" s="118"/>
      <c r="M1316" s="126"/>
      <c r="N1316" s="126"/>
      <c r="O1316" s="126"/>
      <c r="P1316" s="135"/>
      <c r="Q1316" s="135"/>
    </row>
    <row r="1317" spans="11:17" ht="12.75">
      <c r="K1317" s="118"/>
      <c r="L1317" s="118"/>
      <c r="M1317" s="126"/>
      <c r="N1317" s="126"/>
      <c r="O1317" s="126"/>
      <c r="P1317" s="135"/>
      <c r="Q1317" s="135"/>
    </row>
    <row r="1318" spans="11:17" ht="12.75">
      <c r="K1318" s="118"/>
      <c r="L1318" s="118"/>
      <c r="M1318" s="126"/>
      <c r="N1318" s="126"/>
      <c r="O1318" s="126"/>
      <c r="P1318" s="135"/>
      <c r="Q1318" s="135"/>
    </row>
    <row r="1319" spans="11:17" ht="12.75">
      <c r="K1319" s="118"/>
      <c r="L1319" s="118"/>
      <c r="M1319" s="126"/>
      <c r="N1319" s="126"/>
      <c r="O1319" s="126"/>
      <c r="P1319" s="135"/>
      <c r="Q1319" s="135"/>
    </row>
    <row r="1320" spans="11:17" ht="12.75">
      <c r="K1320" s="118"/>
      <c r="L1320" s="118"/>
      <c r="M1320" s="126"/>
      <c r="N1320" s="126"/>
      <c r="O1320" s="126"/>
      <c r="P1320" s="135"/>
      <c r="Q1320" s="135"/>
    </row>
    <row r="1321" spans="11:17" ht="12.75">
      <c r="K1321" s="118"/>
      <c r="L1321" s="118"/>
      <c r="M1321" s="126"/>
      <c r="N1321" s="126"/>
      <c r="O1321" s="126"/>
      <c r="P1321" s="135"/>
      <c r="Q1321" s="135"/>
    </row>
    <row r="1322" spans="11:17" ht="12.75">
      <c r="K1322" s="118"/>
      <c r="L1322" s="118"/>
      <c r="M1322" s="126"/>
      <c r="N1322" s="126"/>
      <c r="O1322" s="126"/>
      <c r="P1322" s="135"/>
      <c r="Q1322" s="135"/>
    </row>
    <row r="1323" spans="11:17" ht="12.75">
      <c r="K1323" s="118"/>
      <c r="L1323" s="118"/>
      <c r="M1323" s="126"/>
      <c r="N1323" s="126"/>
      <c r="O1323" s="126"/>
      <c r="P1323" s="135"/>
      <c r="Q1323" s="135"/>
    </row>
    <row r="1324" spans="11:17" ht="12.75">
      <c r="K1324" s="118"/>
      <c r="L1324" s="118"/>
      <c r="M1324" s="126"/>
      <c r="N1324" s="126"/>
      <c r="O1324" s="126"/>
      <c r="P1324" s="135"/>
      <c r="Q1324" s="135"/>
    </row>
    <row r="1325" spans="11:17" ht="12.75">
      <c r="K1325" s="118"/>
      <c r="L1325" s="118"/>
      <c r="M1325" s="126"/>
      <c r="N1325" s="126"/>
      <c r="O1325" s="126"/>
      <c r="P1325" s="135"/>
      <c r="Q1325" s="135"/>
    </row>
    <row r="1326" spans="11:17" ht="12.75">
      <c r="K1326" s="118"/>
      <c r="L1326" s="118"/>
      <c r="M1326" s="126"/>
      <c r="N1326" s="126"/>
      <c r="O1326" s="126"/>
      <c r="P1326" s="135"/>
      <c r="Q1326" s="135"/>
    </row>
    <row r="1327" spans="11:17" ht="12.75">
      <c r="K1327" s="118"/>
      <c r="L1327" s="118"/>
      <c r="M1327" s="126"/>
      <c r="N1327" s="126"/>
      <c r="O1327" s="126"/>
      <c r="P1327" s="135"/>
      <c r="Q1327" s="135"/>
    </row>
    <row r="1328" spans="11:17" ht="12.75">
      <c r="K1328" s="118"/>
      <c r="L1328" s="118"/>
      <c r="M1328" s="126"/>
      <c r="N1328" s="126"/>
      <c r="O1328" s="126"/>
      <c r="P1328" s="135"/>
      <c r="Q1328" s="135"/>
    </row>
    <row r="1329" spans="11:17" ht="12.75">
      <c r="K1329" s="118"/>
      <c r="L1329" s="118"/>
      <c r="M1329" s="126"/>
      <c r="N1329" s="126"/>
      <c r="O1329" s="126"/>
      <c r="P1329" s="135"/>
      <c r="Q1329" s="135"/>
    </row>
    <row r="1330" spans="11:17" ht="12.75">
      <c r="K1330" s="118"/>
      <c r="L1330" s="118"/>
      <c r="M1330" s="126"/>
      <c r="N1330" s="126"/>
      <c r="O1330" s="126"/>
      <c r="P1330" s="135"/>
      <c r="Q1330" s="135"/>
    </row>
    <row r="1331" spans="11:17" ht="12.75">
      <c r="K1331" s="118"/>
      <c r="L1331" s="118"/>
      <c r="M1331" s="126"/>
      <c r="N1331" s="126"/>
      <c r="O1331" s="126"/>
      <c r="P1331" s="135"/>
      <c r="Q1331" s="135"/>
    </row>
    <row r="1332" spans="11:17" ht="12.75">
      <c r="K1332" s="118"/>
      <c r="L1332" s="118"/>
      <c r="M1332" s="126"/>
      <c r="N1332" s="126"/>
      <c r="O1332" s="126"/>
      <c r="P1332" s="135"/>
      <c r="Q1332" s="135"/>
    </row>
    <row r="1333" spans="11:17" ht="12.75">
      <c r="K1333" s="118"/>
      <c r="L1333" s="118"/>
      <c r="M1333" s="126"/>
      <c r="N1333" s="126"/>
      <c r="O1333" s="126"/>
      <c r="P1333" s="135"/>
      <c r="Q1333" s="135"/>
    </row>
    <row r="1334" spans="11:17" ht="12.75">
      <c r="K1334" s="118"/>
      <c r="L1334" s="118"/>
      <c r="M1334" s="126"/>
      <c r="N1334" s="126"/>
      <c r="O1334" s="126"/>
      <c r="P1334" s="135"/>
      <c r="Q1334" s="135"/>
    </row>
    <row r="1335" spans="11:17" ht="12.75">
      <c r="K1335" s="118"/>
      <c r="L1335" s="118"/>
      <c r="M1335" s="126"/>
      <c r="N1335" s="126"/>
      <c r="O1335" s="126"/>
      <c r="P1335" s="135"/>
      <c r="Q1335" s="135"/>
    </row>
    <row r="1336" spans="11:17" ht="12.75">
      <c r="K1336" s="118"/>
      <c r="L1336" s="118"/>
      <c r="M1336" s="126"/>
      <c r="N1336" s="126"/>
      <c r="O1336" s="126"/>
      <c r="P1336" s="135"/>
      <c r="Q1336" s="135"/>
    </row>
    <row r="1337" spans="11:17" ht="12.75">
      <c r="K1337" s="118"/>
      <c r="L1337" s="118"/>
      <c r="M1337" s="126"/>
      <c r="N1337" s="126"/>
      <c r="O1337" s="126"/>
      <c r="P1337" s="135"/>
      <c r="Q1337" s="135"/>
    </row>
    <row r="1338" spans="11:17" ht="12.75">
      <c r="K1338" s="118"/>
      <c r="L1338" s="118"/>
      <c r="M1338" s="126"/>
      <c r="N1338" s="126"/>
      <c r="O1338" s="126"/>
      <c r="P1338" s="135"/>
      <c r="Q1338" s="135"/>
    </row>
    <row r="1339" spans="11:17" ht="12.75">
      <c r="K1339" s="118"/>
      <c r="L1339" s="118"/>
      <c r="M1339" s="126"/>
      <c r="N1339" s="126"/>
      <c r="O1339" s="126"/>
      <c r="P1339" s="135"/>
      <c r="Q1339" s="135"/>
    </row>
    <row r="1340" spans="11:17" ht="12.75">
      <c r="K1340" s="118"/>
      <c r="L1340" s="118"/>
      <c r="M1340" s="126"/>
      <c r="N1340" s="126"/>
      <c r="O1340" s="126"/>
      <c r="P1340" s="135"/>
      <c r="Q1340" s="135"/>
    </row>
    <row r="1341" spans="11:17" ht="12.75">
      <c r="K1341" s="118"/>
      <c r="L1341" s="118"/>
      <c r="M1341" s="126"/>
      <c r="N1341" s="126"/>
      <c r="O1341" s="126"/>
      <c r="P1341" s="135"/>
      <c r="Q1341" s="135"/>
    </row>
    <row r="1342" spans="11:17" ht="12.75">
      <c r="K1342" s="118"/>
      <c r="L1342" s="118"/>
      <c r="M1342" s="126"/>
      <c r="N1342" s="126"/>
      <c r="O1342" s="126"/>
      <c r="P1342" s="135"/>
      <c r="Q1342" s="135"/>
    </row>
    <row r="1343" spans="11:17" ht="12.75">
      <c r="K1343" s="118"/>
      <c r="L1343" s="118"/>
      <c r="M1343" s="126"/>
      <c r="N1343" s="126"/>
      <c r="O1343" s="126"/>
      <c r="P1343" s="135"/>
      <c r="Q1343" s="135"/>
    </row>
    <row r="1344" spans="11:17" ht="12.75">
      <c r="K1344" s="118"/>
      <c r="L1344" s="118"/>
      <c r="M1344" s="126"/>
      <c r="N1344" s="126"/>
      <c r="O1344" s="126"/>
      <c r="P1344" s="135"/>
      <c r="Q1344" s="135"/>
    </row>
    <row r="1345" spans="11:17" ht="12.75">
      <c r="K1345" s="118"/>
      <c r="L1345" s="118"/>
      <c r="M1345" s="126"/>
      <c r="N1345" s="126"/>
      <c r="O1345" s="126"/>
      <c r="P1345" s="135"/>
      <c r="Q1345" s="135"/>
    </row>
    <row r="1346" spans="11:17" ht="12.75">
      <c r="K1346" s="118"/>
      <c r="L1346" s="118"/>
      <c r="M1346" s="126"/>
      <c r="N1346" s="126"/>
      <c r="O1346" s="126"/>
      <c r="P1346" s="135"/>
      <c r="Q1346" s="135"/>
    </row>
    <row r="1347" spans="11:17" ht="12.75">
      <c r="K1347" s="118"/>
      <c r="L1347" s="118"/>
      <c r="M1347" s="126"/>
      <c r="N1347" s="126"/>
      <c r="O1347" s="126"/>
      <c r="P1347" s="135"/>
      <c r="Q1347" s="135"/>
    </row>
    <row r="1348" spans="11:17" ht="12.75">
      <c r="K1348" s="118"/>
      <c r="L1348" s="118"/>
      <c r="M1348" s="126"/>
      <c r="N1348" s="126"/>
      <c r="O1348" s="126"/>
      <c r="P1348" s="135"/>
      <c r="Q1348" s="135"/>
    </row>
    <row r="1349" spans="11:17" ht="12.75">
      <c r="K1349" s="118"/>
      <c r="L1349" s="118"/>
      <c r="M1349" s="126"/>
      <c r="N1349" s="126"/>
      <c r="O1349" s="126"/>
      <c r="P1349" s="135"/>
      <c r="Q1349" s="135"/>
    </row>
    <row r="1350" spans="11:17" ht="12.75">
      <c r="K1350" s="118"/>
      <c r="L1350" s="118"/>
      <c r="M1350" s="126"/>
      <c r="N1350" s="126"/>
      <c r="O1350" s="126"/>
      <c r="P1350" s="135"/>
      <c r="Q1350" s="135"/>
    </row>
    <row r="1351" spans="11:17" ht="12.75">
      <c r="K1351" s="118"/>
      <c r="L1351" s="118"/>
      <c r="M1351" s="126"/>
      <c r="N1351" s="126"/>
      <c r="O1351" s="126"/>
      <c r="P1351" s="135"/>
      <c r="Q1351" s="135"/>
    </row>
    <row r="1352" spans="11:17" ht="12.75">
      <c r="K1352" s="118"/>
      <c r="L1352" s="118"/>
      <c r="M1352" s="126"/>
      <c r="N1352" s="126"/>
      <c r="O1352" s="126"/>
      <c r="P1352" s="135"/>
      <c r="Q1352" s="135"/>
    </row>
    <row r="1353" spans="11:17" ht="12.75">
      <c r="K1353" s="118"/>
      <c r="L1353" s="118"/>
      <c r="M1353" s="126"/>
      <c r="N1353" s="126"/>
      <c r="O1353" s="126"/>
      <c r="P1353" s="135"/>
      <c r="Q1353" s="135"/>
    </row>
    <row r="1354" spans="11:17" ht="12.75">
      <c r="K1354" s="118"/>
      <c r="L1354" s="118"/>
      <c r="M1354" s="126"/>
      <c r="N1354" s="126"/>
      <c r="O1354" s="126"/>
      <c r="P1354" s="135"/>
      <c r="Q1354" s="135"/>
    </row>
    <row r="1355" spans="11:17" ht="12.75">
      <c r="K1355" s="118"/>
      <c r="L1355" s="118"/>
      <c r="M1355" s="126"/>
      <c r="N1355" s="126"/>
      <c r="O1355" s="126"/>
      <c r="P1355" s="135"/>
      <c r="Q1355" s="135"/>
    </row>
    <row r="1356" spans="11:17" ht="12.75">
      <c r="K1356" s="118"/>
      <c r="L1356" s="118"/>
      <c r="M1356" s="126"/>
      <c r="N1356" s="126"/>
      <c r="O1356" s="126"/>
      <c r="P1356" s="135"/>
      <c r="Q1356" s="135"/>
    </row>
    <row r="1357" spans="11:17" ht="12.75">
      <c r="K1357" s="118"/>
      <c r="L1357" s="118"/>
      <c r="M1357" s="126"/>
      <c r="N1357" s="126"/>
      <c r="O1357" s="126"/>
      <c r="P1357" s="135"/>
      <c r="Q1357" s="135"/>
    </row>
    <row r="1358" spans="11:17" ht="12.75">
      <c r="K1358" s="118"/>
      <c r="L1358" s="118"/>
      <c r="M1358" s="126"/>
      <c r="N1358" s="126"/>
      <c r="O1358" s="126"/>
      <c r="P1358" s="135"/>
      <c r="Q1358" s="135"/>
    </row>
    <row r="1359" spans="11:17" ht="12.75">
      <c r="K1359" s="118"/>
      <c r="L1359" s="118"/>
      <c r="M1359" s="126"/>
      <c r="N1359" s="126"/>
      <c r="O1359" s="126"/>
      <c r="P1359" s="135"/>
      <c r="Q1359" s="135"/>
    </row>
    <row r="1360" spans="11:17" ht="12.75">
      <c r="K1360" s="118"/>
      <c r="L1360" s="118"/>
      <c r="M1360" s="126"/>
      <c r="N1360" s="126"/>
      <c r="O1360" s="126"/>
      <c r="P1360" s="135"/>
      <c r="Q1360" s="135"/>
    </row>
    <row r="1361" spans="11:17" ht="12.75">
      <c r="K1361" s="118"/>
      <c r="L1361" s="118"/>
      <c r="M1361" s="126"/>
      <c r="N1361" s="126"/>
      <c r="O1361" s="126"/>
      <c r="P1361" s="135"/>
      <c r="Q1361" s="135"/>
    </row>
    <row r="1362" spans="11:17" ht="12.75">
      <c r="K1362" s="118"/>
      <c r="L1362" s="118"/>
      <c r="M1362" s="126"/>
      <c r="N1362" s="126"/>
      <c r="O1362" s="126"/>
      <c r="P1362" s="135"/>
      <c r="Q1362" s="135"/>
    </row>
    <row r="1363" spans="11:17" ht="12.75">
      <c r="K1363" s="118"/>
      <c r="L1363" s="118"/>
      <c r="M1363" s="126"/>
      <c r="N1363" s="126"/>
      <c r="O1363" s="126"/>
      <c r="P1363" s="135"/>
      <c r="Q1363" s="135"/>
    </row>
    <row r="1364" spans="11:17" ht="12.75">
      <c r="K1364" s="118"/>
      <c r="L1364" s="118"/>
      <c r="M1364" s="126"/>
      <c r="N1364" s="126"/>
      <c r="O1364" s="126"/>
      <c r="P1364" s="135"/>
      <c r="Q1364" s="135"/>
    </row>
    <row r="1365" spans="11:17" ht="12.75">
      <c r="K1365" s="118"/>
      <c r="L1365" s="118"/>
      <c r="M1365" s="126"/>
      <c r="N1365" s="126"/>
      <c r="O1365" s="126"/>
      <c r="P1365" s="135"/>
      <c r="Q1365" s="135"/>
    </row>
    <row r="1366" spans="11:17" ht="12.75">
      <c r="K1366" s="118"/>
      <c r="L1366" s="118"/>
      <c r="M1366" s="126"/>
      <c r="N1366" s="126"/>
      <c r="O1366" s="126"/>
      <c r="P1366" s="135"/>
      <c r="Q1366" s="135"/>
    </row>
    <row r="1367" spans="11:17" ht="12.75">
      <c r="K1367" s="118"/>
      <c r="L1367" s="118"/>
      <c r="M1367" s="126"/>
      <c r="N1367" s="126"/>
      <c r="O1367" s="126"/>
      <c r="P1367" s="135"/>
      <c r="Q1367" s="135"/>
    </row>
    <row r="1368" spans="11:17" ht="12.75">
      <c r="K1368" s="118"/>
      <c r="L1368" s="118"/>
      <c r="M1368" s="126"/>
      <c r="N1368" s="126"/>
      <c r="O1368" s="126"/>
      <c r="P1368" s="135"/>
      <c r="Q1368" s="135"/>
    </row>
    <row r="1369" spans="11:17" ht="12.75">
      <c r="K1369" s="118"/>
      <c r="L1369" s="118"/>
      <c r="M1369" s="126"/>
      <c r="N1369" s="126"/>
      <c r="O1369" s="126"/>
      <c r="P1369" s="135"/>
      <c r="Q1369" s="135"/>
    </row>
    <row r="1370" spans="11:17" ht="12.75">
      <c r="K1370" s="118"/>
      <c r="L1370" s="118"/>
      <c r="M1370" s="126"/>
      <c r="N1370" s="126"/>
      <c r="O1370" s="126"/>
      <c r="P1370" s="135"/>
      <c r="Q1370" s="135"/>
    </row>
    <row r="1371" spans="11:17" ht="12.75">
      <c r="K1371" s="118"/>
      <c r="L1371" s="118"/>
      <c r="M1371" s="126"/>
      <c r="N1371" s="126"/>
      <c r="O1371" s="126"/>
      <c r="P1371" s="135"/>
      <c r="Q1371" s="135"/>
    </row>
    <row r="1372" spans="11:17" ht="12.75">
      <c r="K1372" s="118"/>
      <c r="L1372" s="118"/>
      <c r="M1372" s="126"/>
      <c r="N1372" s="126"/>
      <c r="O1372" s="126"/>
      <c r="P1372" s="135"/>
      <c r="Q1372" s="135"/>
    </row>
    <row r="1373" spans="11:17" ht="12.75">
      <c r="K1373" s="118"/>
      <c r="L1373" s="118"/>
      <c r="M1373" s="126"/>
      <c r="N1373" s="126"/>
      <c r="O1373" s="126"/>
      <c r="P1373" s="135"/>
      <c r="Q1373" s="135"/>
    </row>
    <row r="1374" spans="11:17" ht="12.75">
      <c r="K1374" s="118"/>
      <c r="L1374" s="118"/>
      <c r="M1374" s="126"/>
      <c r="N1374" s="126"/>
      <c r="O1374" s="126"/>
      <c r="P1374" s="135"/>
      <c r="Q1374" s="135"/>
    </row>
    <row r="1375" spans="11:17" ht="12.75">
      <c r="K1375" s="118"/>
      <c r="L1375" s="118"/>
      <c r="M1375" s="126"/>
      <c r="N1375" s="126"/>
      <c r="O1375" s="126"/>
      <c r="P1375" s="135"/>
      <c r="Q1375" s="135"/>
    </row>
    <row r="1376" spans="11:17" ht="12.75">
      <c r="K1376" s="118"/>
      <c r="L1376" s="118"/>
      <c r="M1376" s="126"/>
      <c r="N1376" s="126"/>
      <c r="O1376" s="126"/>
      <c r="P1376" s="135"/>
      <c r="Q1376" s="135"/>
    </row>
    <row r="1377" spans="11:17" ht="12.75">
      <c r="K1377" s="118"/>
      <c r="L1377" s="118"/>
      <c r="M1377" s="126"/>
      <c r="N1377" s="126"/>
      <c r="O1377" s="126"/>
      <c r="P1377" s="135"/>
      <c r="Q1377" s="135"/>
    </row>
    <row r="1378" spans="11:17" ht="12.75">
      <c r="K1378" s="118"/>
      <c r="L1378" s="118"/>
      <c r="M1378" s="126"/>
      <c r="N1378" s="126"/>
      <c r="O1378" s="126"/>
      <c r="P1378" s="135"/>
      <c r="Q1378" s="135"/>
    </row>
    <row r="1379" spans="11:17" ht="12.75">
      <c r="K1379" s="118"/>
      <c r="L1379" s="118"/>
      <c r="M1379" s="126"/>
      <c r="N1379" s="126"/>
      <c r="O1379" s="126"/>
      <c r="P1379" s="135"/>
      <c r="Q1379" s="135"/>
    </row>
    <row r="1380" spans="11:17" ht="12.75">
      <c r="K1380" s="118"/>
      <c r="L1380" s="118"/>
      <c r="M1380" s="126"/>
      <c r="N1380" s="126"/>
      <c r="O1380" s="126"/>
      <c r="P1380" s="135"/>
      <c r="Q1380" s="135"/>
    </row>
    <row r="1381" spans="11:17" ht="12.75">
      <c r="K1381" s="118"/>
      <c r="L1381" s="118"/>
      <c r="M1381" s="126"/>
      <c r="N1381" s="126"/>
      <c r="O1381" s="126"/>
      <c r="P1381" s="135"/>
      <c r="Q1381" s="135"/>
    </row>
    <row r="1382" spans="11:17" ht="12.75">
      <c r="K1382" s="118"/>
      <c r="L1382" s="118"/>
      <c r="M1382" s="126"/>
      <c r="N1382" s="126"/>
      <c r="O1382" s="126"/>
      <c r="P1382" s="135"/>
      <c r="Q1382" s="135"/>
    </row>
    <row r="1383" spans="11:17" ht="12.75">
      <c r="K1383" s="118"/>
      <c r="L1383" s="118"/>
      <c r="M1383" s="126"/>
      <c r="N1383" s="126"/>
      <c r="O1383" s="126"/>
      <c r="P1383" s="135"/>
      <c r="Q1383" s="135"/>
    </row>
    <row r="1384" spans="11:17" ht="12.75">
      <c r="K1384" s="118"/>
      <c r="L1384" s="118"/>
      <c r="M1384" s="126"/>
      <c r="N1384" s="126"/>
      <c r="O1384" s="126"/>
      <c r="P1384" s="135"/>
      <c r="Q1384" s="135"/>
    </row>
    <row r="1385" spans="11:17" ht="12.75">
      <c r="K1385" s="118"/>
      <c r="L1385" s="118"/>
      <c r="M1385" s="126"/>
      <c r="N1385" s="126"/>
      <c r="O1385" s="126"/>
      <c r="P1385" s="135"/>
      <c r="Q1385" s="135"/>
    </row>
    <row r="1386" spans="11:17" ht="12.75">
      <c r="K1386" s="118"/>
      <c r="L1386" s="118"/>
      <c r="M1386" s="126"/>
      <c r="N1386" s="126"/>
      <c r="O1386" s="126"/>
      <c r="P1386" s="135"/>
      <c r="Q1386" s="135"/>
    </row>
    <row r="1387" spans="11:17" ht="12.75">
      <c r="K1387" s="118"/>
      <c r="L1387" s="118"/>
      <c r="M1387" s="126"/>
      <c r="N1387" s="126"/>
      <c r="O1387" s="126"/>
      <c r="P1387" s="135"/>
      <c r="Q1387" s="135"/>
    </row>
    <row r="1388" spans="11:17" ht="12.75">
      <c r="K1388" s="118"/>
      <c r="L1388" s="118"/>
      <c r="M1388" s="126"/>
      <c r="N1388" s="126"/>
      <c r="O1388" s="126"/>
      <c r="P1388" s="135"/>
      <c r="Q1388" s="135"/>
    </row>
    <row r="1389" spans="11:17" ht="12.75">
      <c r="K1389" s="118"/>
      <c r="L1389" s="118"/>
      <c r="M1389" s="126"/>
      <c r="N1389" s="126"/>
      <c r="O1389" s="126"/>
      <c r="P1389" s="135"/>
      <c r="Q1389" s="135"/>
    </row>
    <row r="1390" spans="11:17" ht="12.75">
      <c r="K1390" s="118"/>
      <c r="L1390" s="118"/>
      <c r="M1390" s="126"/>
      <c r="N1390" s="126"/>
      <c r="O1390" s="126"/>
      <c r="P1390" s="135"/>
      <c r="Q1390" s="135"/>
    </row>
    <row r="1391" spans="11:17" ht="12.75">
      <c r="K1391" s="118"/>
      <c r="L1391" s="118"/>
      <c r="M1391" s="126"/>
      <c r="N1391" s="126"/>
      <c r="O1391" s="126"/>
      <c r="P1391" s="135"/>
      <c r="Q1391" s="135"/>
    </row>
    <row r="1392" spans="11:17" ht="12.75">
      <c r="K1392" s="118"/>
      <c r="L1392" s="118"/>
      <c r="M1392" s="126"/>
      <c r="N1392" s="126"/>
      <c r="O1392" s="126"/>
      <c r="P1392" s="135"/>
      <c r="Q1392" s="135"/>
    </row>
    <row r="1393" spans="11:17" ht="12.75">
      <c r="K1393" s="118"/>
      <c r="L1393" s="118"/>
      <c r="M1393" s="126"/>
      <c r="N1393" s="126"/>
      <c r="O1393" s="126"/>
      <c r="P1393" s="135"/>
      <c r="Q1393" s="135"/>
    </row>
    <row r="1394" spans="11:17" ht="12.75">
      <c r="K1394" s="118"/>
      <c r="L1394" s="118"/>
      <c r="M1394" s="126"/>
      <c r="N1394" s="126"/>
      <c r="O1394" s="126"/>
      <c r="P1394" s="135"/>
      <c r="Q1394" s="135"/>
    </row>
    <row r="1395" spans="11:17" ht="12.75">
      <c r="K1395" s="118"/>
      <c r="L1395" s="118"/>
      <c r="M1395" s="126"/>
      <c r="N1395" s="126"/>
      <c r="O1395" s="126"/>
      <c r="P1395" s="135"/>
      <c r="Q1395" s="135"/>
    </row>
    <row r="1396" spans="11:17" ht="12.75">
      <c r="K1396" s="118"/>
      <c r="L1396" s="118"/>
      <c r="M1396" s="126"/>
      <c r="N1396" s="126"/>
      <c r="O1396" s="126"/>
      <c r="P1396" s="135"/>
      <c r="Q1396" s="135"/>
    </row>
    <row r="1397" spans="11:17" ht="12.75">
      <c r="K1397" s="118"/>
      <c r="L1397" s="118"/>
      <c r="M1397" s="126"/>
      <c r="N1397" s="126"/>
      <c r="O1397" s="126"/>
      <c r="P1397" s="135"/>
      <c r="Q1397" s="135"/>
    </row>
    <row r="1398" spans="11:17" ht="12.75">
      <c r="K1398" s="118"/>
      <c r="L1398" s="118"/>
      <c r="M1398" s="126"/>
      <c r="N1398" s="126"/>
      <c r="O1398" s="126"/>
      <c r="P1398" s="135"/>
      <c r="Q1398" s="135"/>
    </row>
    <row r="1399" spans="11:17" ht="12.75">
      <c r="K1399" s="118"/>
      <c r="L1399" s="118"/>
      <c r="M1399" s="126"/>
      <c r="N1399" s="126"/>
      <c r="O1399" s="126"/>
      <c r="P1399" s="135"/>
      <c r="Q1399" s="135"/>
    </row>
    <row r="1400" spans="11:17" ht="12.75">
      <c r="K1400" s="118"/>
      <c r="L1400" s="118"/>
      <c r="M1400" s="126"/>
      <c r="N1400" s="126"/>
      <c r="O1400" s="126"/>
      <c r="P1400" s="135"/>
      <c r="Q1400" s="135"/>
    </row>
    <row r="1401" spans="11:17" ht="12.75">
      <c r="K1401" s="118"/>
      <c r="L1401" s="118"/>
      <c r="M1401" s="126"/>
      <c r="N1401" s="126"/>
      <c r="O1401" s="126"/>
      <c r="P1401" s="135"/>
      <c r="Q1401" s="135"/>
    </row>
    <row r="1402" spans="11:17" ht="12.75">
      <c r="K1402" s="118"/>
      <c r="L1402" s="118"/>
      <c r="M1402" s="126"/>
      <c r="N1402" s="126"/>
      <c r="O1402" s="126"/>
      <c r="P1402" s="135"/>
      <c r="Q1402" s="135"/>
    </row>
    <row r="1403" spans="11:17" ht="12.75">
      <c r="K1403" s="118"/>
      <c r="L1403" s="118"/>
      <c r="M1403" s="126"/>
      <c r="N1403" s="126"/>
      <c r="O1403" s="126"/>
      <c r="P1403" s="135"/>
      <c r="Q1403" s="135"/>
    </row>
    <row r="1404" spans="11:17" ht="12.75">
      <c r="K1404" s="118"/>
      <c r="L1404" s="118"/>
      <c r="M1404" s="126"/>
      <c r="N1404" s="126"/>
      <c r="O1404" s="126"/>
      <c r="P1404" s="135"/>
      <c r="Q1404" s="135"/>
    </row>
    <row r="1405" spans="11:17" ht="12.75">
      <c r="K1405" s="118"/>
      <c r="L1405" s="118"/>
      <c r="M1405" s="126"/>
      <c r="N1405" s="126"/>
      <c r="O1405" s="126"/>
      <c r="P1405" s="135"/>
      <c r="Q1405" s="135"/>
    </row>
    <row r="1406" spans="11:17" ht="12.75">
      <c r="K1406" s="118"/>
      <c r="L1406" s="118"/>
      <c r="M1406" s="126"/>
      <c r="N1406" s="126"/>
      <c r="O1406" s="126"/>
      <c r="P1406" s="135"/>
      <c r="Q1406" s="135"/>
    </row>
    <row r="1407" spans="11:17" ht="12.75">
      <c r="K1407" s="118"/>
      <c r="L1407" s="118"/>
      <c r="M1407" s="126"/>
      <c r="N1407" s="126"/>
      <c r="O1407" s="126"/>
      <c r="P1407" s="135"/>
      <c r="Q1407" s="135"/>
    </row>
    <row r="1408" spans="11:17" ht="12.75">
      <c r="K1408" s="118"/>
      <c r="L1408" s="118"/>
      <c r="M1408" s="126"/>
      <c r="N1408" s="126"/>
      <c r="O1408" s="126"/>
      <c r="P1408" s="135"/>
      <c r="Q1408" s="135"/>
    </row>
    <row r="1409" spans="11:17" ht="12.75">
      <c r="K1409" s="118"/>
      <c r="L1409" s="118"/>
      <c r="M1409" s="126"/>
      <c r="N1409" s="126"/>
      <c r="O1409" s="126"/>
      <c r="P1409" s="135"/>
      <c r="Q1409" s="135"/>
    </row>
    <row r="1410" spans="11:17" ht="12.75">
      <c r="K1410" s="118"/>
      <c r="L1410" s="118"/>
      <c r="M1410" s="126"/>
      <c r="N1410" s="126"/>
      <c r="O1410" s="126"/>
      <c r="P1410" s="135"/>
      <c r="Q1410" s="135"/>
    </row>
    <row r="1411" spans="11:17" ht="12.75">
      <c r="K1411" s="118"/>
      <c r="L1411" s="118"/>
      <c r="M1411" s="126"/>
      <c r="N1411" s="126"/>
      <c r="O1411" s="126"/>
      <c r="P1411" s="135"/>
      <c r="Q1411" s="135"/>
    </row>
    <row r="1412" spans="11:17" ht="12.75">
      <c r="K1412" s="118"/>
      <c r="L1412" s="118"/>
      <c r="M1412" s="126"/>
      <c r="N1412" s="126"/>
      <c r="O1412" s="126"/>
      <c r="P1412" s="135"/>
      <c r="Q1412" s="135"/>
    </row>
    <row r="1413" spans="11:17" ht="12.75">
      <c r="K1413" s="118"/>
      <c r="L1413" s="118"/>
      <c r="M1413" s="126"/>
      <c r="N1413" s="126"/>
      <c r="O1413" s="126"/>
      <c r="P1413" s="135"/>
      <c r="Q1413" s="135"/>
    </row>
    <row r="1414" spans="11:17" ht="12.75">
      <c r="K1414" s="118"/>
      <c r="L1414" s="118"/>
      <c r="M1414" s="126"/>
      <c r="N1414" s="126"/>
      <c r="O1414" s="126"/>
      <c r="P1414" s="135"/>
      <c r="Q1414" s="135"/>
    </row>
    <row r="1415" spans="11:17" ht="12.75">
      <c r="K1415" s="118"/>
      <c r="L1415" s="118"/>
      <c r="M1415" s="126"/>
      <c r="N1415" s="126"/>
      <c r="O1415" s="126"/>
      <c r="P1415" s="135"/>
      <c r="Q1415" s="135"/>
    </row>
    <row r="1416" spans="11:17" ht="12.75">
      <c r="K1416" s="118"/>
      <c r="L1416" s="118"/>
      <c r="M1416" s="126"/>
      <c r="N1416" s="126"/>
      <c r="O1416" s="126"/>
      <c r="P1416" s="135"/>
      <c r="Q1416" s="135"/>
    </row>
    <row r="1417" spans="11:17" ht="12.75">
      <c r="K1417" s="118"/>
      <c r="L1417" s="118"/>
      <c r="M1417" s="126"/>
      <c r="N1417" s="126"/>
      <c r="O1417" s="126"/>
      <c r="P1417" s="135"/>
      <c r="Q1417" s="135"/>
    </row>
    <row r="1418" spans="11:17" ht="12.75">
      <c r="K1418" s="118"/>
      <c r="L1418" s="118"/>
      <c r="M1418" s="126"/>
      <c r="N1418" s="126"/>
      <c r="O1418" s="126"/>
      <c r="P1418" s="135"/>
      <c r="Q1418" s="135"/>
    </row>
    <row r="1419" spans="11:17" ht="12.75">
      <c r="K1419" s="118"/>
      <c r="L1419" s="118"/>
      <c r="M1419" s="126"/>
      <c r="N1419" s="126"/>
      <c r="O1419" s="126"/>
      <c r="P1419" s="135"/>
      <c r="Q1419" s="135"/>
    </row>
    <row r="1420" spans="11:17" ht="12.75">
      <c r="K1420" s="118"/>
      <c r="L1420" s="118"/>
      <c r="M1420" s="126"/>
      <c r="N1420" s="126"/>
      <c r="O1420" s="126"/>
      <c r="P1420" s="135"/>
      <c r="Q1420" s="135"/>
    </row>
    <row r="1421" spans="11:17" ht="12.75">
      <c r="K1421" s="118"/>
      <c r="L1421" s="118"/>
      <c r="M1421" s="126"/>
      <c r="N1421" s="126"/>
      <c r="O1421" s="126"/>
      <c r="P1421" s="135"/>
      <c r="Q1421" s="135"/>
    </row>
    <row r="1422" spans="11:17" ht="12.75">
      <c r="K1422" s="118"/>
      <c r="L1422" s="118"/>
      <c r="M1422" s="126"/>
      <c r="N1422" s="126"/>
      <c r="O1422" s="126"/>
      <c r="P1422" s="135"/>
      <c r="Q1422" s="135"/>
    </row>
    <row r="1423" spans="11:17" ht="12.75">
      <c r="K1423" s="118"/>
      <c r="L1423" s="118"/>
      <c r="M1423" s="126"/>
      <c r="N1423" s="126"/>
      <c r="O1423" s="126"/>
      <c r="P1423" s="135"/>
      <c r="Q1423" s="135"/>
    </row>
    <row r="1424" spans="11:17" ht="12.75">
      <c r="K1424" s="118"/>
      <c r="L1424" s="118"/>
      <c r="M1424" s="126"/>
      <c r="N1424" s="126"/>
      <c r="O1424" s="126"/>
      <c r="P1424" s="135"/>
      <c r="Q1424" s="135"/>
    </row>
    <row r="1425" spans="11:17" ht="12.75">
      <c r="K1425" s="118"/>
      <c r="L1425" s="118"/>
      <c r="M1425" s="126"/>
      <c r="N1425" s="126"/>
      <c r="O1425" s="126"/>
      <c r="P1425" s="135"/>
      <c r="Q1425" s="135"/>
    </row>
    <row r="1426" spans="11:17" ht="12.75">
      <c r="K1426" s="118"/>
      <c r="L1426" s="118"/>
      <c r="M1426" s="126"/>
      <c r="N1426" s="126"/>
      <c r="O1426" s="126"/>
      <c r="P1426" s="135"/>
      <c r="Q1426" s="135"/>
    </row>
    <row r="1427" spans="11:17" ht="12.75">
      <c r="K1427" s="118"/>
      <c r="L1427" s="118"/>
      <c r="M1427" s="126"/>
      <c r="N1427" s="126"/>
      <c r="O1427" s="126"/>
      <c r="P1427" s="135"/>
      <c r="Q1427" s="135"/>
    </row>
    <row r="1428" spans="11:17" ht="12.75">
      <c r="K1428" s="118"/>
      <c r="L1428" s="118"/>
      <c r="M1428" s="126"/>
      <c r="N1428" s="126"/>
      <c r="O1428" s="126"/>
      <c r="P1428" s="135"/>
      <c r="Q1428" s="135"/>
    </row>
    <row r="1429" spans="11:17" ht="12.75">
      <c r="K1429" s="118"/>
      <c r="L1429" s="118"/>
      <c r="M1429" s="126"/>
      <c r="N1429" s="126"/>
      <c r="O1429" s="126"/>
      <c r="P1429" s="135"/>
      <c r="Q1429" s="135"/>
    </row>
    <row r="1430" spans="11:17" ht="12.75">
      <c r="K1430" s="118"/>
      <c r="L1430" s="118"/>
      <c r="M1430" s="126"/>
      <c r="N1430" s="126"/>
      <c r="O1430" s="126"/>
      <c r="P1430" s="135"/>
      <c r="Q1430" s="135"/>
    </row>
    <row r="1431" spans="11:17" ht="12.75">
      <c r="K1431" s="118"/>
      <c r="L1431" s="118"/>
      <c r="M1431" s="126"/>
      <c r="N1431" s="126"/>
      <c r="O1431" s="126"/>
      <c r="P1431" s="135"/>
      <c r="Q1431" s="135"/>
    </row>
    <row r="1432" spans="11:17" ht="12.75">
      <c r="K1432" s="118"/>
      <c r="L1432" s="118"/>
      <c r="M1432" s="126"/>
      <c r="N1432" s="126"/>
      <c r="O1432" s="126"/>
      <c r="P1432" s="135"/>
      <c r="Q1432" s="135"/>
    </row>
    <row r="1433" spans="11:17" ht="12.75">
      <c r="K1433" s="118"/>
      <c r="L1433" s="118"/>
      <c r="M1433" s="126"/>
      <c r="N1433" s="126"/>
      <c r="O1433" s="126"/>
      <c r="P1433" s="135"/>
      <c r="Q1433" s="135"/>
    </row>
    <row r="1434" spans="11:17" ht="12.75">
      <c r="K1434" s="118"/>
      <c r="L1434" s="118"/>
      <c r="M1434" s="126"/>
      <c r="N1434" s="126"/>
      <c r="O1434" s="126"/>
      <c r="P1434" s="135"/>
      <c r="Q1434" s="135"/>
    </row>
    <row r="1435" spans="11:17" ht="12.75">
      <c r="K1435" s="118"/>
      <c r="L1435" s="118"/>
      <c r="M1435" s="126"/>
      <c r="N1435" s="126"/>
      <c r="O1435" s="126"/>
      <c r="P1435" s="135"/>
      <c r="Q1435" s="135"/>
    </row>
    <row r="1436" spans="11:17" ht="12.75">
      <c r="K1436" s="118"/>
      <c r="L1436" s="118"/>
      <c r="M1436" s="126"/>
      <c r="N1436" s="126"/>
      <c r="O1436" s="126"/>
      <c r="P1436" s="135"/>
      <c r="Q1436" s="135"/>
    </row>
    <row r="1437" spans="11:17" ht="12.75">
      <c r="K1437" s="118"/>
      <c r="L1437" s="118"/>
      <c r="M1437" s="126"/>
      <c r="N1437" s="126"/>
      <c r="O1437" s="126"/>
      <c r="P1437" s="135"/>
      <c r="Q1437" s="135"/>
    </row>
    <row r="1438" spans="11:17" ht="12.75">
      <c r="K1438" s="118"/>
      <c r="L1438" s="118"/>
      <c r="M1438" s="126"/>
      <c r="N1438" s="126"/>
      <c r="O1438" s="126"/>
      <c r="P1438" s="135"/>
      <c r="Q1438" s="135"/>
    </row>
    <row r="1439" spans="11:17" ht="12.75">
      <c r="K1439" s="118"/>
      <c r="L1439" s="118"/>
      <c r="M1439" s="126"/>
      <c r="N1439" s="126"/>
      <c r="O1439" s="126"/>
      <c r="P1439" s="135"/>
      <c r="Q1439" s="135"/>
    </row>
    <row r="1440" spans="11:17" ht="12.75">
      <c r="K1440" s="118"/>
      <c r="L1440" s="118"/>
      <c r="M1440" s="126"/>
      <c r="N1440" s="126"/>
      <c r="O1440" s="126"/>
      <c r="P1440" s="135"/>
      <c r="Q1440" s="135"/>
    </row>
    <row r="1441" spans="11:17" ht="12.75">
      <c r="K1441" s="118"/>
      <c r="L1441" s="118"/>
      <c r="M1441" s="126"/>
      <c r="N1441" s="126"/>
      <c r="O1441" s="126"/>
      <c r="P1441" s="135"/>
      <c r="Q1441" s="135"/>
    </row>
    <row r="1442" spans="11:17" ht="12.75">
      <c r="K1442" s="118"/>
      <c r="L1442" s="118"/>
      <c r="M1442" s="126"/>
      <c r="N1442" s="126"/>
      <c r="O1442" s="126"/>
      <c r="P1442" s="135"/>
      <c r="Q1442" s="135"/>
    </row>
    <row r="1443" spans="11:17" ht="12.75">
      <c r="K1443" s="118"/>
      <c r="L1443" s="118"/>
      <c r="M1443" s="126"/>
      <c r="N1443" s="126"/>
      <c r="O1443" s="126"/>
      <c r="P1443" s="135"/>
      <c r="Q1443" s="135"/>
    </row>
    <row r="1444" spans="11:17" ht="12.75">
      <c r="K1444" s="118"/>
      <c r="L1444" s="118"/>
      <c r="M1444" s="126"/>
      <c r="N1444" s="126"/>
      <c r="O1444" s="126"/>
      <c r="P1444" s="135"/>
      <c r="Q1444" s="135"/>
    </row>
    <row r="1445" spans="11:17" ht="12.75">
      <c r="K1445" s="118"/>
      <c r="L1445" s="118"/>
      <c r="M1445" s="126"/>
      <c r="N1445" s="126"/>
      <c r="O1445" s="126"/>
      <c r="P1445" s="135"/>
      <c r="Q1445" s="135"/>
    </row>
    <row r="1446" spans="11:17" ht="12.75">
      <c r="K1446" s="118"/>
      <c r="L1446" s="118"/>
      <c r="M1446" s="126"/>
      <c r="N1446" s="126"/>
      <c r="O1446" s="126"/>
      <c r="P1446" s="135"/>
      <c r="Q1446" s="135"/>
    </row>
    <row r="1447" spans="11:17" ht="12.75">
      <c r="K1447" s="118"/>
      <c r="L1447" s="118"/>
      <c r="M1447" s="126"/>
      <c r="N1447" s="126"/>
      <c r="O1447" s="126"/>
      <c r="P1447" s="135"/>
      <c r="Q1447" s="135"/>
    </row>
    <row r="1448" spans="11:17" ht="12.75">
      <c r="K1448" s="118"/>
      <c r="L1448" s="118"/>
      <c r="M1448" s="126"/>
      <c r="N1448" s="126"/>
      <c r="O1448" s="126"/>
      <c r="P1448" s="135"/>
      <c r="Q1448" s="135"/>
    </row>
    <row r="1449" spans="11:17" ht="12.75">
      <c r="K1449" s="118"/>
      <c r="L1449" s="118"/>
      <c r="M1449" s="126"/>
      <c r="N1449" s="126"/>
      <c r="O1449" s="126"/>
      <c r="P1449" s="135"/>
      <c r="Q1449" s="135"/>
    </row>
    <row r="1450" spans="11:17" ht="12.75">
      <c r="K1450" s="118"/>
      <c r="L1450" s="118"/>
      <c r="M1450" s="126"/>
      <c r="N1450" s="126"/>
      <c r="O1450" s="126"/>
      <c r="P1450" s="135"/>
      <c r="Q1450" s="135"/>
    </row>
    <row r="1451" spans="11:17" ht="12.75">
      <c r="K1451" s="118"/>
      <c r="L1451" s="118"/>
      <c r="M1451" s="126"/>
      <c r="N1451" s="126"/>
      <c r="O1451" s="126"/>
      <c r="P1451" s="135"/>
      <c r="Q1451" s="135"/>
    </row>
    <row r="1452" spans="11:17" ht="12.75">
      <c r="K1452" s="118"/>
      <c r="L1452" s="118"/>
      <c r="M1452" s="126"/>
      <c r="N1452" s="126"/>
      <c r="O1452" s="126"/>
      <c r="P1452" s="135"/>
      <c r="Q1452" s="135"/>
    </row>
    <row r="1453" spans="11:17" ht="12.75">
      <c r="K1453" s="118"/>
      <c r="L1453" s="118"/>
      <c r="M1453" s="126"/>
      <c r="N1453" s="126"/>
      <c r="O1453" s="126"/>
      <c r="P1453" s="135"/>
      <c r="Q1453" s="135"/>
    </row>
    <row r="1454" spans="11:17" ht="12.75">
      <c r="K1454" s="118"/>
      <c r="L1454" s="118"/>
      <c r="M1454" s="126"/>
      <c r="N1454" s="126"/>
      <c r="O1454" s="126"/>
      <c r="P1454" s="135"/>
      <c r="Q1454" s="135"/>
    </row>
    <row r="1455" spans="11:17" ht="12.75">
      <c r="K1455" s="118"/>
      <c r="L1455" s="118"/>
      <c r="M1455" s="126"/>
      <c r="N1455" s="126"/>
      <c r="O1455" s="126"/>
      <c r="P1455" s="135"/>
      <c r="Q1455" s="135"/>
    </row>
    <row r="1456" spans="11:17" ht="12.75">
      <c r="K1456" s="118"/>
      <c r="L1456" s="118"/>
      <c r="M1456" s="126"/>
      <c r="N1456" s="126"/>
      <c r="O1456" s="126"/>
      <c r="P1456" s="135"/>
      <c r="Q1456" s="135"/>
    </row>
    <row r="1457" spans="11:17" ht="12.75">
      <c r="K1457" s="118"/>
      <c r="L1457" s="118"/>
      <c r="M1457" s="126"/>
      <c r="N1457" s="126"/>
      <c r="O1457" s="126"/>
      <c r="P1457" s="135"/>
      <c r="Q1457" s="135"/>
    </row>
    <row r="1458" spans="11:17" ht="12.75">
      <c r="K1458" s="118"/>
      <c r="L1458" s="118"/>
      <c r="M1458" s="126"/>
      <c r="N1458" s="126"/>
      <c r="O1458" s="126"/>
      <c r="P1458" s="135"/>
      <c r="Q1458" s="135"/>
    </row>
    <row r="1459" spans="11:17" ht="12.75">
      <c r="K1459" s="118"/>
      <c r="L1459" s="118"/>
      <c r="M1459" s="126"/>
      <c r="N1459" s="126"/>
      <c r="O1459" s="126"/>
      <c r="P1459" s="135"/>
      <c r="Q1459" s="135"/>
    </row>
    <row r="1460" spans="11:17" ht="12.75">
      <c r="K1460" s="118"/>
      <c r="L1460" s="118"/>
      <c r="M1460" s="126"/>
      <c r="N1460" s="126"/>
      <c r="O1460" s="126"/>
      <c r="P1460" s="135"/>
      <c r="Q1460" s="135"/>
    </row>
    <row r="1461" spans="11:17" ht="12.75">
      <c r="K1461" s="118"/>
      <c r="L1461" s="118"/>
      <c r="M1461" s="126"/>
      <c r="N1461" s="126"/>
      <c r="O1461" s="126"/>
      <c r="P1461" s="135"/>
      <c r="Q1461" s="135"/>
    </row>
    <row r="1462" spans="11:17" ht="12.75">
      <c r="K1462" s="118"/>
      <c r="L1462" s="118"/>
      <c r="M1462" s="126"/>
      <c r="N1462" s="126"/>
      <c r="O1462" s="126"/>
      <c r="P1462" s="135"/>
      <c r="Q1462" s="135"/>
    </row>
    <row r="1463" spans="11:17" ht="12.75">
      <c r="K1463" s="118"/>
      <c r="L1463" s="118"/>
      <c r="M1463" s="126"/>
      <c r="N1463" s="126"/>
      <c r="O1463" s="126"/>
      <c r="P1463" s="135"/>
      <c r="Q1463" s="135"/>
    </row>
    <row r="1464" spans="11:17" ht="12.75">
      <c r="K1464" s="118"/>
      <c r="L1464" s="118"/>
      <c r="M1464" s="126"/>
      <c r="N1464" s="126"/>
      <c r="O1464" s="126"/>
      <c r="P1464" s="135"/>
      <c r="Q1464" s="135"/>
    </row>
    <row r="1465" spans="11:17" ht="12.75">
      <c r="K1465" s="118"/>
      <c r="L1465" s="118"/>
      <c r="M1465" s="126"/>
      <c r="N1465" s="126"/>
      <c r="O1465" s="126"/>
      <c r="P1465" s="135"/>
      <c r="Q1465" s="135"/>
    </row>
    <row r="1466" spans="11:17" ht="12.75">
      <c r="K1466" s="118"/>
      <c r="L1466" s="118"/>
      <c r="M1466" s="126"/>
      <c r="N1466" s="126"/>
      <c r="O1466" s="126"/>
      <c r="P1466" s="135"/>
      <c r="Q1466" s="135"/>
    </row>
    <row r="1467" spans="11:17" ht="12.75">
      <c r="K1467" s="118"/>
      <c r="L1467" s="118"/>
      <c r="M1467" s="126"/>
      <c r="N1467" s="126"/>
      <c r="O1467" s="126"/>
      <c r="P1467" s="135"/>
      <c r="Q1467" s="135"/>
    </row>
    <row r="1468" spans="11:17" ht="12.75">
      <c r="K1468" s="118"/>
      <c r="L1468" s="118"/>
      <c r="M1468" s="126"/>
      <c r="N1468" s="126"/>
      <c r="O1468" s="126"/>
      <c r="P1468" s="135"/>
      <c r="Q1468" s="135"/>
    </row>
    <row r="1469" spans="11:17" ht="12.75">
      <c r="K1469" s="118"/>
      <c r="L1469" s="118"/>
      <c r="M1469" s="126"/>
      <c r="N1469" s="126"/>
      <c r="O1469" s="126"/>
      <c r="P1469" s="135"/>
      <c r="Q1469" s="135"/>
    </row>
    <row r="1470" spans="11:17" ht="12.75">
      <c r="K1470" s="118"/>
      <c r="L1470" s="118"/>
      <c r="M1470" s="126"/>
      <c r="N1470" s="126"/>
      <c r="O1470" s="126"/>
      <c r="P1470" s="135"/>
      <c r="Q1470" s="135"/>
    </row>
    <row r="1471" spans="11:17" ht="12.75">
      <c r="K1471" s="118"/>
      <c r="L1471" s="118"/>
      <c r="M1471" s="126"/>
      <c r="N1471" s="126"/>
      <c r="O1471" s="126"/>
      <c r="P1471" s="135"/>
      <c r="Q1471" s="135"/>
    </row>
    <row r="1472" spans="11:17" ht="12.75">
      <c r="K1472" s="118"/>
      <c r="L1472" s="118"/>
      <c r="M1472" s="126"/>
      <c r="N1472" s="126"/>
      <c r="O1472" s="126"/>
      <c r="P1472" s="135"/>
      <c r="Q1472" s="135"/>
    </row>
    <row r="1473" spans="11:17" ht="12.75">
      <c r="K1473" s="118"/>
      <c r="L1473" s="118"/>
      <c r="M1473" s="126"/>
      <c r="N1473" s="126"/>
      <c r="O1473" s="126"/>
      <c r="P1473" s="135"/>
      <c r="Q1473" s="135"/>
    </row>
    <row r="1474" spans="11:17" ht="12.75">
      <c r="K1474" s="118"/>
      <c r="L1474" s="118"/>
      <c r="M1474" s="126"/>
      <c r="N1474" s="126"/>
      <c r="O1474" s="126"/>
      <c r="P1474" s="135"/>
      <c r="Q1474" s="135"/>
    </row>
    <row r="1475" spans="11:17" ht="12.75">
      <c r="K1475" s="118"/>
      <c r="L1475" s="118"/>
      <c r="M1475" s="126"/>
      <c r="N1475" s="126"/>
      <c r="O1475" s="126"/>
      <c r="P1475" s="135"/>
      <c r="Q1475" s="135"/>
    </row>
    <row r="1476" spans="11:17" ht="12.75">
      <c r="K1476" s="118"/>
      <c r="L1476" s="118"/>
      <c r="M1476" s="126"/>
      <c r="N1476" s="126"/>
      <c r="O1476" s="126"/>
      <c r="P1476" s="135"/>
      <c r="Q1476" s="135"/>
    </row>
    <row r="1477" spans="11:17" ht="12.75">
      <c r="K1477" s="118"/>
      <c r="L1477" s="118"/>
      <c r="M1477" s="126"/>
      <c r="N1477" s="126"/>
      <c r="O1477" s="126"/>
      <c r="P1477" s="135"/>
      <c r="Q1477" s="135"/>
    </row>
    <row r="1478" spans="11:17" ht="12.75">
      <c r="K1478" s="118"/>
      <c r="L1478" s="118"/>
      <c r="M1478" s="126"/>
      <c r="N1478" s="126"/>
      <c r="O1478" s="126"/>
      <c r="P1478" s="135"/>
      <c r="Q1478" s="135"/>
    </row>
    <row r="1479" spans="11:17" ht="12.75">
      <c r="K1479" s="118"/>
      <c r="L1479" s="118"/>
      <c r="M1479" s="126"/>
      <c r="N1479" s="126"/>
      <c r="O1479" s="126"/>
      <c r="P1479" s="135"/>
      <c r="Q1479" s="135"/>
    </row>
    <row r="1480" spans="11:17" ht="12.75">
      <c r="K1480" s="118"/>
      <c r="L1480" s="118"/>
      <c r="M1480" s="126"/>
      <c r="N1480" s="126"/>
      <c r="O1480" s="126"/>
      <c r="P1480" s="135"/>
      <c r="Q1480" s="135"/>
    </row>
    <row r="1481" spans="11:17" ht="12.75">
      <c r="K1481" s="118"/>
      <c r="L1481" s="118"/>
      <c r="M1481" s="126"/>
      <c r="N1481" s="126"/>
      <c r="O1481" s="126"/>
      <c r="P1481" s="135"/>
      <c r="Q1481" s="135"/>
    </row>
    <row r="1482" spans="11:17" ht="12.75">
      <c r="K1482" s="118"/>
      <c r="L1482" s="118"/>
      <c r="M1482" s="126"/>
      <c r="N1482" s="126"/>
      <c r="O1482" s="126"/>
      <c r="P1482" s="135"/>
      <c r="Q1482" s="135"/>
    </row>
    <row r="1483" spans="11:17" ht="12.75">
      <c r="K1483" s="118"/>
      <c r="L1483" s="118"/>
      <c r="M1483" s="126"/>
      <c r="N1483" s="126"/>
      <c r="O1483" s="126"/>
      <c r="P1483" s="135"/>
      <c r="Q1483" s="135"/>
    </row>
    <row r="1484" spans="11:17" ht="12.75">
      <c r="K1484" s="118"/>
      <c r="L1484" s="118"/>
      <c r="M1484" s="126"/>
      <c r="N1484" s="126"/>
      <c r="O1484" s="126"/>
      <c r="P1484" s="135"/>
      <c r="Q1484" s="135"/>
    </row>
    <row r="1485" spans="11:17" ht="12.75">
      <c r="K1485" s="118"/>
      <c r="L1485" s="118"/>
      <c r="M1485" s="126"/>
      <c r="N1485" s="126"/>
      <c r="O1485" s="126"/>
      <c r="P1485" s="135"/>
      <c r="Q1485" s="135"/>
    </row>
    <row r="1486" spans="11:17" ht="12.75">
      <c r="K1486" s="118"/>
      <c r="L1486" s="118"/>
      <c r="M1486" s="126"/>
      <c r="N1486" s="126"/>
      <c r="O1486" s="126"/>
      <c r="P1486" s="135"/>
      <c r="Q1486" s="135"/>
    </row>
    <row r="1487" spans="11:17" ht="12.75">
      <c r="K1487" s="118"/>
      <c r="L1487" s="118"/>
      <c r="M1487" s="126"/>
      <c r="N1487" s="126"/>
      <c r="O1487" s="126"/>
      <c r="P1487" s="135"/>
      <c r="Q1487" s="135"/>
    </row>
    <row r="1488" spans="11:17" ht="12.75">
      <c r="K1488" s="118"/>
      <c r="L1488" s="118"/>
      <c r="M1488" s="126"/>
      <c r="N1488" s="126"/>
      <c r="O1488" s="126"/>
      <c r="P1488" s="135"/>
      <c r="Q1488" s="135"/>
    </row>
    <row r="1489" spans="11:17" ht="12.75">
      <c r="K1489" s="118"/>
      <c r="L1489" s="118"/>
      <c r="M1489" s="126"/>
      <c r="N1489" s="126"/>
      <c r="O1489" s="126"/>
      <c r="P1489" s="135"/>
      <c r="Q1489" s="135"/>
    </row>
    <row r="1490" spans="11:17" ht="12.75">
      <c r="K1490" s="118"/>
      <c r="L1490" s="118"/>
      <c r="M1490" s="126"/>
      <c r="N1490" s="126"/>
      <c r="O1490" s="126"/>
      <c r="P1490" s="135"/>
      <c r="Q1490" s="135"/>
    </row>
    <row r="1491" spans="11:17" ht="12.75">
      <c r="K1491" s="118"/>
      <c r="L1491" s="118"/>
      <c r="M1491" s="126"/>
      <c r="N1491" s="126"/>
      <c r="O1491" s="126"/>
      <c r="P1491" s="135"/>
      <c r="Q1491" s="135"/>
    </row>
    <row r="1492" spans="11:17" ht="12.75">
      <c r="K1492" s="118"/>
      <c r="L1492" s="118"/>
      <c r="M1492" s="126"/>
      <c r="N1492" s="126"/>
      <c r="O1492" s="126"/>
      <c r="P1492" s="135"/>
      <c r="Q1492" s="135"/>
    </row>
    <row r="1493" spans="11:17" ht="12.75">
      <c r="K1493" s="118"/>
      <c r="L1493" s="118"/>
      <c r="M1493" s="126"/>
      <c r="N1493" s="126"/>
      <c r="O1493" s="126"/>
      <c r="P1493" s="135"/>
      <c r="Q1493" s="135"/>
    </row>
    <row r="1494" spans="11:17" ht="12.75">
      <c r="K1494" s="118"/>
      <c r="L1494" s="118"/>
      <c r="M1494" s="126"/>
      <c r="N1494" s="126"/>
      <c r="O1494" s="126"/>
      <c r="P1494" s="135"/>
      <c r="Q1494" s="135"/>
    </row>
    <row r="1495" spans="11:17" ht="12.75">
      <c r="K1495" s="118"/>
      <c r="L1495" s="118"/>
      <c r="M1495" s="126"/>
      <c r="N1495" s="126"/>
      <c r="O1495" s="126"/>
      <c r="P1495" s="135"/>
      <c r="Q1495" s="135"/>
    </row>
    <row r="1496" spans="11:17" ht="12.75">
      <c r="K1496" s="118"/>
      <c r="L1496" s="118"/>
      <c r="M1496" s="126"/>
      <c r="N1496" s="126"/>
      <c r="O1496" s="126"/>
      <c r="P1496" s="135"/>
      <c r="Q1496" s="135"/>
    </row>
    <row r="1497" spans="11:17" ht="12.75">
      <c r="K1497" s="118"/>
      <c r="L1497" s="118"/>
      <c r="M1497" s="126"/>
      <c r="N1497" s="126"/>
      <c r="O1497" s="126"/>
      <c r="P1497" s="135"/>
      <c r="Q1497" s="135"/>
    </row>
    <row r="1498" spans="11:17" ht="12.75">
      <c r="K1498" s="118"/>
      <c r="L1498" s="118"/>
      <c r="M1498" s="126"/>
      <c r="N1498" s="126"/>
      <c r="O1498" s="126"/>
      <c r="P1498" s="135"/>
      <c r="Q1498" s="135"/>
    </row>
    <row r="1499" spans="11:17" ht="12.75">
      <c r="K1499" s="118"/>
      <c r="L1499" s="118"/>
      <c r="M1499" s="126"/>
      <c r="N1499" s="126"/>
      <c r="O1499" s="126"/>
      <c r="P1499" s="135"/>
      <c r="Q1499" s="135"/>
    </row>
    <row r="1500" spans="11:17" ht="12.75">
      <c r="K1500" s="118"/>
      <c r="L1500" s="118"/>
      <c r="M1500" s="126"/>
      <c r="N1500" s="126"/>
      <c r="O1500" s="126"/>
      <c r="P1500" s="135"/>
      <c r="Q1500" s="135"/>
    </row>
    <row r="1501" spans="11:17" ht="12.75">
      <c r="K1501" s="118"/>
      <c r="L1501" s="118"/>
      <c r="M1501" s="126"/>
      <c r="N1501" s="126"/>
      <c r="O1501" s="126"/>
      <c r="P1501" s="135"/>
      <c r="Q1501" s="135"/>
    </row>
    <row r="1502" spans="11:17" ht="12.75">
      <c r="K1502" s="118"/>
      <c r="L1502" s="118"/>
      <c r="M1502" s="126"/>
      <c r="N1502" s="126"/>
      <c r="O1502" s="126"/>
      <c r="P1502" s="135"/>
      <c r="Q1502" s="135"/>
    </row>
    <row r="1503" spans="11:17" ht="12.75">
      <c r="K1503" s="118"/>
      <c r="L1503" s="118"/>
      <c r="M1503" s="126"/>
      <c r="N1503" s="126"/>
      <c r="O1503" s="126"/>
      <c r="P1503" s="135"/>
      <c r="Q1503" s="135"/>
    </row>
    <row r="1504" spans="11:17" ht="12.75">
      <c r="K1504" s="118"/>
      <c r="L1504" s="118"/>
      <c r="M1504" s="126"/>
      <c r="N1504" s="126"/>
      <c r="O1504" s="126"/>
      <c r="P1504" s="135"/>
      <c r="Q1504" s="135"/>
    </row>
    <row r="1505" spans="11:17" ht="12.75">
      <c r="K1505" s="118"/>
      <c r="L1505" s="118"/>
      <c r="M1505" s="126"/>
      <c r="N1505" s="126"/>
      <c r="O1505" s="126"/>
      <c r="P1505" s="135"/>
      <c r="Q1505" s="135"/>
    </row>
    <row r="1506" spans="11:17" ht="12.75">
      <c r="K1506" s="118"/>
      <c r="L1506" s="118"/>
      <c r="M1506" s="126"/>
      <c r="N1506" s="126"/>
      <c r="O1506" s="126"/>
      <c r="P1506" s="135"/>
      <c r="Q1506" s="135"/>
    </row>
    <row r="1507" spans="11:17" ht="12.75">
      <c r="K1507" s="118"/>
      <c r="L1507" s="118"/>
      <c r="M1507" s="126"/>
      <c r="N1507" s="126"/>
      <c r="O1507" s="126"/>
      <c r="P1507" s="135"/>
      <c r="Q1507" s="135"/>
    </row>
    <row r="1508" spans="11:17" ht="12.75">
      <c r="K1508" s="118"/>
      <c r="L1508" s="118"/>
      <c r="M1508" s="126"/>
      <c r="N1508" s="126"/>
      <c r="O1508" s="126"/>
      <c r="P1508" s="135"/>
      <c r="Q1508" s="135"/>
    </row>
    <row r="1509" spans="11:17" ht="12.75">
      <c r="K1509" s="118"/>
      <c r="L1509" s="118"/>
      <c r="M1509" s="126"/>
      <c r="N1509" s="126"/>
      <c r="O1509" s="126"/>
      <c r="P1509" s="135"/>
      <c r="Q1509" s="135"/>
    </row>
    <row r="1510" spans="11:17" ht="12.75">
      <c r="K1510" s="118"/>
      <c r="L1510" s="118"/>
      <c r="M1510" s="126"/>
      <c r="N1510" s="126"/>
      <c r="O1510" s="126"/>
      <c r="P1510" s="135"/>
      <c r="Q1510" s="135"/>
    </row>
    <row r="1511" spans="11:17" ht="12.75">
      <c r="K1511" s="118"/>
      <c r="L1511" s="118"/>
      <c r="M1511" s="126"/>
      <c r="N1511" s="126"/>
      <c r="O1511" s="126"/>
      <c r="P1511" s="135"/>
      <c r="Q1511" s="135"/>
    </row>
    <row r="1512" spans="11:17" ht="12.75">
      <c r="K1512" s="118"/>
      <c r="L1512" s="118"/>
      <c r="M1512" s="126"/>
      <c r="N1512" s="126"/>
      <c r="O1512" s="126"/>
      <c r="P1512" s="135"/>
      <c r="Q1512" s="135"/>
    </row>
    <row r="1513" spans="11:17" ht="12.75">
      <c r="K1513" s="118"/>
      <c r="L1513" s="118"/>
      <c r="M1513" s="126"/>
      <c r="N1513" s="126"/>
      <c r="O1513" s="126"/>
      <c r="P1513" s="135"/>
      <c r="Q1513" s="135"/>
    </row>
    <row r="1514" spans="11:17" ht="12.75">
      <c r="K1514" s="118"/>
      <c r="L1514" s="118"/>
      <c r="M1514" s="126"/>
      <c r="N1514" s="126"/>
      <c r="O1514" s="126"/>
      <c r="P1514" s="135"/>
      <c r="Q1514" s="135"/>
    </row>
    <row r="1515" spans="11:17" ht="12.75">
      <c r="K1515" s="118"/>
      <c r="L1515" s="118"/>
      <c r="M1515" s="126"/>
      <c r="N1515" s="126"/>
      <c r="O1515" s="126"/>
      <c r="P1515" s="135"/>
      <c r="Q1515" s="135"/>
    </row>
    <row r="1516" spans="11:17" ht="12.75">
      <c r="K1516" s="118"/>
      <c r="L1516" s="118"/>
      <c r="M1516" s="126"/>
      <c r="N1516" s="126"/>
      <c r="O1516" s="126"/>
      <c r="P1516" s="135"/>
      <c r="Q1516" s="135"/>
    </row>
    <row r="1517" spans="11:17" ht="12.75">
      <c r="K1517" s="118"/>
      <c r="L1517" s="118"/>
      <c r="M1517" s="126"/>
      <c r="N1517" s="126"/>
      <c r="O1517" s="126"/>
      <c r="P1517" s="135"/>
      <c r="Q1517" s="135"/>
    </row>
    <row r="1518" spans="11:17" ht="12.75">
      <c r="K1518" s="118"/>
      <c r="L1518" s="118"/>
      <c r="M1518" s="126"/>
      <c r="N1518" s="126"/>
      <c r="O1518" s="126"/>
      <c r="P1518" s="135"/>
      <c r="Q1518" s="135"/>
    </row>
    <row r="1519" spans="11:17" ht="12.75">
      <c r="K1519" s="118"/>
      <c r="L1519" s="118"/>
      <c r="M1519" s="126"/>
      <c r="N1519" s="126"/>
      <c r="O1519" s="126"/>
      <c r="P1519" s="135"/>
      <c r="Q1519" s="135"/>
    </row>
    <row r="1520" spans="11:17" ht="12.75">
      <c r="K1520" s="118"/>
      <c r="L1520" s="118"/>
      <c r="M1520" s="126"/>
      <c r="N1520" s="126"/>
      <c r="O1520" s="126"/>
      <c r="P1520" s="135"/>
      <c r="Q1520" s="135"/>
    </row>
    <row r="1521" spans="11:17" ht="12.75">
      <c r="K1521" s="118"/>
      <c r="L1521" s="118"/>
      <c r="M1521" s="126"/>
      <c r="N1521" s="126"/>
      <c r="O1521" s="126"/>
      <c r="P1521" s="135"/>
      <c r="Q1521" s="135"/>
    </row>
    <row r="1522" spans="11:17" ht="12.75">
      <c r="K1522" s="118"/>
      <c r="L1522" s="118"/>
      <c r="M1522" s="126"/>
      <c r="N1522" s="126"/>
      <c r="O1522" s="126"/>
      <c r="P1522" s="135"/>
      <c r="Q1522" s="135"/>
    </row>
    <row r="1523" spans="11:17" ht="12.75">
      <c r="K1523" s="118"/>
      <c r="L1523" s="118"/>
      <c r="M1523" s="126"/>
      <c r="N1523" s="126"/>
      <c r="O1523" s="126"/>
      <c r="P1523" s="135"/>
      <c r="Q1523" s="135"/>
    </row>
    <row r="1524" spans="11:17" ht="12.75">
      <c r="K1524" s="118"/>
      <c r="L1524" s="118"/>
      <c r="M1524" s="126"/>
      <c r="N1524" s="126"/>
      <c r="O1524" s="126"/>
      <c r="P1524" s="135"/>
      <c r="Q1524" s="135"/>
    </row>
    <row r="1525" spans="11:17" ht="12.75">
      <c r="K1525" s="118"/>
      <c r="L1525" s="118"/>
      <c r="M1525" s="126"/>
      <c r="N1525" s="126"/>
      <c r="O1525" s="126"/>
      <c r="P1525" s="135"/>
      <c r="Q1525" s="135"/>
    </row>
    <row r="1526" spans="11:17" ht="12.75">
      <c r="K1526" s="118"/>
      <c r="L1526" s="118"/>
      <c r="M1526" s="126"/>
      <c r="N1526" s="126"/>
      <c r="O1526" s="126"/>
      <c r="P1526" s="135"/>
      <c r="Q1526" s="135"/>
    </row>
    <row r="1527" spans="11:17" ht="12.75">
      <c r="K1527" s="118"/>
      <c r="L1527" s="118"/>
      <c r="M1527" s="126"/>
      <c r="N1527" s="126"/>
      <c r="O1527" s="126"/>
      <c r="P1527" s="135"/>
      <c r="Q1527" s="135"/>
    </row>
    <row r="1528" spans="11:17" ht="12.75">
      <c r="K1528" s="118"/>
      <c r="L1528" s="118"/>
      <c r="M1528" s="126"/>
      <c r="N1528" s="126"/>
      <c r="O1528" s="126"/>
      <c r="P1528" s="135"/>
      <c r="Q1528" s="135"/>
    </row>
    <row r="1529" spans="11:17" ht="12.75">
      <c r="K1529" s="118"/>
      <c r="L1529" s="118"/>
      <c r="M1529" s="126"/>
      <c r="N1529" s="126"/>
      <c r="O1529" s="126"/>
      <c r="P1529" s="135"/>
      <c r="Q1529" s="135"/>
    </row>
    <row r="1530" spans="11:17" ht="12.75">
      <c r="K1530" s="118"/>
      <c r="L1530" s="118"/>
      <c r="M1530" s="126"/>
      <c r="N1530" s="126"/>
      <c r="O1530" s="126"/>
      <c r="P1530" s="135"/>
      <c r="Q1530" s="135"/>
    </row>
    <row r="1531" spans="11:17" ht="12.75">
      <c r="K1531" s="118"/>
      <c r="L1531" s="118"/>
      <c r="M1531" s="126"/>
      <c r="N1531" s="126"/>
      <c r="O1531" s="126"/>
      <c r="P1531" s="135"/>
      <c r="Q1531" s="135"/>
    </row>
    <row r="1532" spans="11:17" ht="12.75">
      <c r="K1532" s="118"/>
      <c r="L1532" s="118"/>
      <c r="M1532" s="126"/>
      <c r="N1532" s="126"/>
      <c r="O1532" s="126"/>
      <c r="P1532" s="135"/>
      <c r="Q1532" s="135"/>
    </row>
    <row r="1533" spans="11:17" ht="12.75">
      <c r="K1533" s="118"/>
      <c r="L1533" s="118"/>
      <c r="M1533" s="126"/>
      <c r="N1533" s="126"/>
      <c r="O1533" s="126"/>
      <c r="P1533" s="135"/>
      <c r="Q1533" s="135"/>
    </row>
    <row r="1534" spans="11:17" ht="12.75">
      <c r="K1534" s="118"/>
      <c r="L1534" s="118"/>
      <c r="M1534" s="126"/>
      <c r="N1534" s="126"/>
      <c r="O1534" s="126"/>
      <c r="P1534" s="135"/>
      <c r="Q1534" s="135"/>
    </row>
    <row r="1535" spans="11:17" ht="12.75">
      <c r="K1535" s="118"/>
      <c r="L1535" s="118"/>
      <c r="M1535" s="126"/>
      <c r="N1535" s="126"/>
      <c r="O1535" s="126"/>
      <c r="P1535" s="135"/>
      <c r="Q1535" s="135"/>
    </row>
    <row r="1536" spans="11:17" ht="12.75">
      <c r="K1536" s="118"/>
      <c r="L1536" s="118"/>
      <c r="M1536" s="126"/>
      <c r="N1536" s="126"/>
      <c r="O1536" s="126"/>
      <c r="P1536" s="135"/>
      <c r="Q1536" s="135"/>
    </row>
    <row r="1537" spans="11:17" ht="12.75">
      <c r="K1537" s="118"/>
      <c r="L1537" s="118"/>
      <c r="M1537" s="126"/>
      <c r="N1537" s="126"/>
      <c r="O1537" s="126"/>
      <c r="P1537" s="135"/>
      <c r="Q1537" s="135"/>
    </row>
    <row r="1538" spans="11:17" ht="12.75">
      <c r="K1538" s="118"/>
      <c r="L1538" s="118"/>
      <c r="M1538" s="126"/>
      <c r="N1538" s="126"/>
      <c r="O1538" s="126"/>
      <c r="P1538" s="135"/>
      <c r="Q1538" s="135"/>
    </row>
    <row r="1539" spans="11:17" ht="12.75">
      <c r="K1539" s="118"/>
      <c r="L1539" s="118"/>
      <c r="M1539" s="126"/>
      <c r="N1539" s="126"/>
      <c r="O1539" s="126"/>
      <c r="P1539" s="135"/>
      <c r="Q1539" s="135"/>
    </row>
    <row r="1540" spans="11:17" ht="12.75">
      <c r="K1540" s="118"/>
      <c r="L1540" s="118"/>
      <c r="M1540" s="126"/>
      <c r="N1540" s="126"/>
      <c r="O1540" s="126"/>
      <c r="P1540" s="135"/>
      <c r="Q1540" s="135"/>
    </row>
    <row r="1541" spans="11:17" ht="12.75">
      <c r="K1541" s="118"/>
      <c r="L1541" s="118"/>
      <c r="M1541" s="126"/>
      <c r="N1541" s="126"/>
      <c r="O1541" s="126"/>
      <c r="P1541" s="135"/>
      <c r="Q1541" s="135"/>
    </row>
    <row r="1542" spans="11:17" ht="12.75">
      <c r="K1542" s="118"/>
      <c r="L1542" s="118"/>
      <c r="M1542" s="126"/>
      <c r="N1542" s="126"/>
      <c r="O1542" s="126"/>
      <c r="P1542" s="135"/>
      <c r="Q1542" s="135"/>
    </row>
    <row r="1543" spans="11:17" ht="12.75">
      <c r="K1543" s="118"/>
      <c r="L1543" s="118"/>
      <c r="M1543" s="126"/>
      <c r="N1543" s="126"/>
      <c r="O1543" s="126"/>
      <c r="P1543" s="135"/>
      <c r="Q1543" s="135"/>
    </row>
    <row r="1544" spans="11:17" ht="12.75">
      <c r="K1544" s="118"/>
      <c r="L1544" s="118"/>
      <c r="M1544" s="126"/>
      <c r="N1544" s="126"/>
      <c r="O1544" s="126"/>
      <c r="P1544" s="135"/>
      <c r="Q1544" s="135"/>
    </row>
    <row r="1545" spans="11:17" ht="12.75">
      <c r="K1545" s="118"/>
      <c r="L1545" s="118"/>
      <c r="M1545" s="126"/>
      <c r="N1545" s="126"/>
      <c r="O1545" s="126"/>
      <c r="P1545" s="135"/>
      <c r="Q1545" s="135"/>
    </row>
    <row r="1546" spans="11:17" ht="12.75">
      <c r="K1546" s="118"/>
      <c r="L1546" s="118"/>
      <c r="M1546" s="126"/>
      <c r="N1546" s="126"/>
      <c r="O1546" s="126"/>
      <c r="P1546" s="135"/>
      <c r="Q1546" s="135"/>
    </row>
    <row r="1547" spans="11:17" ht="12.75">
      <c r="K1547" s="118"/>
      <c r="L1547" s="118"/>
      <c r="M1547" s="126"/>
      <c r="N1547" s="126"/>
      <c r="O1547" s="126"/>
      <c r="P1547" s="135"/>
      <c r="Q1547" s="135"/>
    </row>
    <row r="1548" spans="11:17" ht="12.75">
      <c r="K1548" s="118"/>
      <c r="L1548" s="118"/>
      <c r="M1548" s="126"/>
      <c r="N1548" s="126"/>
      <c r="O1548" s="126"/>
      <c r="P1548" s="135"/>
      <c r="Q1548" s="135"/>
    </row>
    <row r="1549" spans="11:17" ht="12.75">
      <c r="K1549" s="118"/>
      <c r="L1549" s="118"/>
      <c r="M1549" s="126"/>
      <c r="N1549" s="126"/>
      <c r="O1549" s="126"/>
      <c r="P1549" s="135"/>
      <c r="Q1549" s="135"/>
    </row>
    <row r="1550" spans="11:17" ht="12.75">
      <c r="K1550" s="118"/>
      <c r="L1550" s="118"/>
      <c r="M1550" s="126"/>
      <c r="N1550" s="126"/>
      <c r="O1550" s="126"/>
      <c r="P1550" s="135"/>
      <c r="Q1550" s="135"/>
    </row>
    <row r="1551" spans="11:17" ht="12.75">
      <c r="K1551" s="118"/>
      <c r="L1551" s="118"/>
      <c r="M1551" s="126"/>
      <c r="N1551" s="126"/>
      <c r="O1551" s="126"/>
      <c r="P1551" s="135"/>
      <c r="Q1551" s="135"/>
    </row>
    <row r="1552" spans="11:17" ht="12.75">
      <c r="K1552" s="118"/>
      <c r="L1552" s="118"/>
      <c r="M1552" s="126"/>
      <c r="N1552" s="126"/>
      <c r="O1552" s="126"/>
      <c r="P1552" s="135"/>
      <c r="Q1552" s="135"/>
    </row>
    <row r="1553" spans="11:17" ht="12.75">
      <c r="K1553" s="118"/>
      <c r="L1553" s="118"/>
      <c r="M1553" s="126"/>
      <c r="N1553" s="126"/>
      <c r="O1553" s="126"/>
      <c r="P1553" s="135"/>
      <c r="Q1553" s="135"/>
    </row>
    <row r="1554" spans="11:17" ht="12.75">
      <c r="K1554" s="118"/>
      <c r="L1554" s="118"/>
      <c r="M1554" s="126"/>
      <c r="N1554" s="126"/>
      <c r="O1554" s="126"/>
      <c r="P1554" s="135"/>
      <c r="Q1554" s="135"/>
    </row>
    <row r="1555" spans="11:17" ht="12.75">
      <c r="K1555" s="118"/>
      <c r="L1555" s="118"/>
      <c r="M1555" s="126"/>
      <c r="N1555" s="126"/>
      <c r="O1555" s="126"/>
      <c r="P1555" s="135"/>
      <c r="Q1555" s="135"/>
    </row>
    <row r="1556" spans="11:17" ht="12.75">
      <c r="K1556" s="118"/>
      <c r="L1556" s="118"/>
      <c r="M1556" s="126"/>
      <c r="N1556" s="126"/>
      <c r="O1556" s="126"/>
      <c r="P1556" s="135"/>
      <c r="Q1556" s="135"/>
    </row>
    <row r="1557" spans="11:17" ht="12.75">
      <c r="K1557" s="118"/>
      <c r="L1557" s="118"/>
      <c r="M1557" s="126"/>
      <c r="N1557" s="126"/>
      <c r="O1557" s="126"/>
      <c r="P1557" s="135"/>
      <c r="Q1557" s="135"/>
    </row>
    <row r="1558" spans="11:17" ht="12.75">
      <c r="K1558" s="118"/>
      <c r="L1558" s="118"/>
      <c r="M1558" s="126"/>
      <c r="N1558" s="126"/>
      <c r="O1558" s="126"/>
      <c r="P1558" s="135"/>
      <c r="Q1558" s="135"/>
    </row>
    <row r="1559" spans="11:17" ht="12.75">
      <c r="K1559" s="118"/>
      <c r="L1559" s="118"/>
      <c r="M1559" s="126"/>
      <c r="N1559" s="126"/>
      <c r="O1559" s="126"/>
      <c r="P1559" s="135"/>
      <c r="Q1559" s="135"/>
    </row>
    <row r="1560" spans="11:17" ht="12.75">
      <c r="K1560" s="118"/>
      <c r="L1560" s="118"/>
      <c r="M1560" s="126"/>
      <c r="N1560" s="126"/>
      <c r="O1560" s="126"/>
      <c r="P1560" s="135"/>
      <c r="Q1560" s="135"/>
    </row>
    <row r="1561" spans="11:17" ht="12.75">
      <c r="K1561" s="118"/>
      <c r="L1561" s="118"/>
      <c r="M1561" s="126"/>
      <c r="N1561" s="126"/>
      <c r="O1561" s="126"/>
      <c r="P1561" s="135"/>
      <c r="Q1561" s="135"/>
    </row>
    <row r="1562" spans="11:17" ht="12.75">
      <c r="K1562" s="118"/>
      <c r="L1562" s="118"/>
      <c r="M1562" s="126"/>
      <c r="N1562" s="126"/>
      <c r="O1562" s="126"/>
      <c r="P1562" s="135"/>
      <c r="Q1562" s="135"/>
    </row>
    <row r="1563" spans="11:17" ht="12.75">
      <c r="K1563" s="118"/>
      <c r="L1563" s="118"/>
      <c r="M1563" s="126"/>
      <c r="N1563" s="126"/>
      <c r="O1563" s="126"/>
      <c r="P1563" s="135"/>
      <c r="Q1563" s="135"/>
    </row>
    <row r="1564" spans="11:17" ht="12.75">
      <c r="K1564" s="118"/>
      <c r="L1564" s="118"/>
      <c r="M1564" s="126"/>
      <c r="N1564" s="126"/>
      <c r="O1564" s="126"/>
      <c r="P1564" s="135"/>
      <c r="Q1564" s="135"/>
    </row>
    <row r="1565" spans="11:17" ht="12.75">
      <c r="K1565" s="118"/>
      <c r="L1565" s="118"/>
      <c r="M1565" s="126"/>
      <c r="N1565" s="126"/>
      <c r="O1565" s="126"/>
      <c r="P1565" s="135"/>
      <c r="Q1565" s="135"/>
    </row>
    <row r="1566" spans="11:17" ht="12.75">
      <c r="K1566" s="118"/>
      <c r="L1566" s="118"/>
      <c r="M1566" s="126"/>
      <c r="N1566" s="126"/>
      <c r="O1566" s="126"/>
      <c r="P1566" s="135"/>
      <c r="Q1566" s="135"/>
    </row>
    <row r="1567" spans="11:17" ht="12.75">
      <c r="K1567" s="118"/>
      <c r="L1567" s="118"/>
      <c r="M1567" s="126"/>
      <c r="N1567" s="126"/>
      <c r="O1567" s="126"/>
      <c r="P1567" s="135"/>
      <c r="Q1567" s="135"/>
    </row>
    <row r="1568" spans="11:17" ht="12.75">
      <c r="K1568" s="118"/>
      <c r="L1568" s="118"/>
      <c r="M1568" s="126"/>
      <c r="N1568" s="126"/>
      <c r="O1568" s="126"/>
      <c r="P1568" s="135"/>
      <c r="Q1568" s="135"/>
    </row>
    <row r="1569" spans="11:17" ht="12.75">
      <c r="K1569" s="118"/>
      <c r="L1569" s="118"/>
      <c r="M1569" s="126"/>
      <c r="N1569" s="126"/>
      <c r="O1569" s="126"/>
      <c r="P1569" s="135"/>
      <c r="Q1569" s="135"/>
    </row>
    <row r="1570" spans="11:17" ht="12.75">
      <c r="K1570" s="118"/>
      <c r="L1570" s="118"/>
      <c r="M1570" s="126"/>
      <c r="N1570" s="126"/>
      <c r="O1570" s="126"/>
      <c r="P1570" s="135"/>
      <c r="Q1570" s="135"/>
    </row>
    <row r="1571" spans="11:17" ht="12.75">
      <c r="K1571" s="118"/>
      <c r="L1571" s="118"/>
      <c r="M1571" s="126"/>
      <c r="N1571" s="126"/>
      <c r="O1571" s="126"/>
      <c r="P1571" s="135"/>
      <c r="Q1571" s="135"/>
    </row>
    <row r="1572" spans="11:17" ht="12.75">
      <c r="K1572" s="118"/>
      <c r="L1572" s="118"/>
      <c r="M1572" s="126"/>
      <c r="N1572" s="126"/>
      <c r="O1572" s="126"/>
      <c r="P1572" s="135"/>
      <c r="Q1572" s="135"/>
    </row>
    <row r="1573" spans="11:17" ht="12.75">
      <c r="K1573" s="118"/>
      <c r="L1573" s="118"/>
      <c r="M1573" s="126"/>
      <c r="N1573" s="126"/>
      <c r="O1573" s="126"/>
      <c r="P1573" s="135"/>
      <c r="Q1573" s="135"/>
    </row>
    <row r="1574" spans="11:17" ht="12.75">
      <c r="K1574" s="118"/>
      <c r="L1574" s="118"/>
      <c r="M1574" s="126"/>
      <c r="N1574" s="126"/>
      <c r="O1574" s="126"/>
      <c r="P1574" s="135"/>
      <c r="Q1574" s="135"/>
    </row>
    <row r="1575" spans="11:17" ht="12.75">
      <c r="K1575" s="118"/>
      <c r="L1575" s="118"/>
      <c r="M1575" s="126"/>
      <c r="N1575" s="126"/>
      <c r="O1575" s="126"/>
      <c r="P1575" s="135"/>
      <c r="Q1575" s="135"/>
    </row>
    <row r="1576" spans="11:17" ht="12.75">
      <c r="K1576" s="118"/>
      <c r="L1576" s="118"/>
      <c r="M1576" s="126"/>
      <c r="N1576" s="126"/>
      <c r="O1576" s="126"/>
      <c r="P1576" s="135"/>
      <c r="Q1576" s="135"/>
    </row>
    <row r="1577" spans="11:17" ht="12.75">
      <c r="K1577" s="118"/>
      <c r="L1577" s="118"/>
      <c r="M1577" s="126"/>
      <c r="N1577" s="126"/>
      <c r="O1577" s="126"/>
      <c r="P1577" s="135"/>
      <c r="Q1577" s="135"/>
    </row>
    <row r="1578" spans="11:17" ht="12.75">
      <c r="K1578" s="118"/>
      <c r="L1578" s="118"/>
      <c r="M1578" s="126"/>
      <c r="N1578" s="126"/>
      <c r="O1578" s="126"/>
      <c r="P1578" s="135"/>
      <c r="Q1578" s="135"/>
    </row>
    <row r="1579" spans="11:17" ht="12.75">
      <c r="K1579" s="118"/>
      <c r="L1579" s="118"/>
      <c r="M1579" s="126"/>
      <c r="N1579" s="126"/>
      <c r="O1579" s="126"/>
      <c r="P1579" s="135"/>
      <c r="Q1579" s="135"/>
    </row>
    <row r="1580" spans="11:17" ht="12.75">
      <c r="K1580" s="118"/>
      <c r="L1580" s="118"/>
      <c r="M1580" s="126"/>
      <c r="N1580" s="126"/>
      <c r="O1580" s="126"/>
      <c r="P1580" s="135"/>
      <c r="Q1580" s="135"/>
    </row>
    <row r="1581" spans="11:17" ht="12.75">
      <c r="K1581" s="118"/>
      <c r="L1581" s="118"/>
      <c r="M1581" s="126"/>
      <c r="N1581" s="126"/>
      <c r="O1581" s="126"/>
      <c r="P1581" s="135"/>
      <c r="Q1581" s="135"/>
    </row>
    <row r="1582" spans="11:17" ht="12.75">
      <c r="K1582" s="118"/>
      <c r="L1582" s="118"/>
      <c r="M1582" s="126"/>
      <c r="N1582" s="126"/>
      <c r="O1582" s="126"/>
      <c r="P1582" s="135"/>
      <c r="Q1582" s="135"/>
    </row>
    <row r="1583" spans="11:17" ht="12.75">
      <c r="K1583" s="118"/>
      <c r="L1583" s="118"/>
      <c r="M1583" s="126"/>
      <c r="N1583" s="126"/>
      <c r="O1583" s="126"/>
      <c r="P1583" s="135"/>
      <c r="Q1583" s="135"/>
    </row>
    <row r="1584" spans="11:17" ht="12.75">
      <c r="K1584" s="118"/>
      <c r="L1584" s="118"/>
      <c r="M1584" s="126"/>
      <c r="N1584" s="126"/>
      <c r="O1584" s="126"/>
      <c r="P1584" s="135"/>
      <c r="Q1584" s="135"/>
    </row>
    <row r="1585" spans="11:17" ht="12.75">
      <c r="K1585" s="118"/>
      <c r="L1585" s="118"/>
      <c r="M1585" s="126"/>
      <c r="N1585" s="126"/>
      <c r="O1585" s="126"/>
      <c r="P1585" s="135"/>
      <c r="Q1585" s="135"/>
    </row>
    <row r="1586" spans="11:17" ht="12.75">
      <c r="K1586" s="118"/>
      <c r="L1586" s="118"/>
      <c r="M1586" s="126"/>
      <c r="N1586" s="126"/>
      <c r="O1586" s="126"/>
      <c r="P1586" s="135"/>
      <c r="Q1586" s="135"/>
    </row>
    <row r="1587" spans="11:17" ht="12.75">
      <c r="K1587" s="118"/>
      <c r="L1587" s="118"/>
      <c r="M1587" s="126"/>
      <c r="N1587" s="126"/>
      <c r="O1587" s="126"/>
      <c r="P1587" s="135"/>
      <c r="Q1587" s="135"/>
    </row>
    <row r="1588" spans="11:17" ht="12.75">
      <c r="K1588" s="118"/>
      <c r="L1588" s="118"/>
      <c r="M1588" s="126"/>
      <c r="N1588" s="126"/>
      <c r="O1588" s="126"/>
      <c r="P1588" s="135"/>
      <c r="Q1588" s="135"/>
    </row>
    <row r="1589" spans="11:17" ht="12.75">
      <c r="K1589" s="118"/>
      <c r="L1589" s="118"/>
      <c r="M1589" s="126"/>
      <c r="N1589" s="126"/>
      <c r="O1589" s="126"/>
      <c r="P1589" s="135"/>
      <c r="Q1589" s="135"/>
    </row>
    <row r="1590" spans="11:17" ht="12.75">
      <c r="K1590" s="118"/>
      <c r="L1590" s="118"/>
      <c r="M1590" s="126"/>
      <c r="N1590" s="126"/>
      <c r="O1590" s="126"/>
      <c r="P1590" s="135"/>
      <c r="Q1590" s="135"/>
    </row>
    <row r="1591" spans="11:17" ht="12.75">
      <c r="K1591" s="118"/>
      <c r="L1591" s="118"/>
      <c r="M1591" s="126"/>
      <c r="N1591" s="126"/>
      <c r="O1591" s="126"/>
      <c r="P1591" s="135"/>
      <c r="Q1591" s="135"/>
    </row>
    <row r="1592" spans="11:17" ht="12.75">
      <c r="K1592" s="118"/>
      <c r="L1592" s="118"/>
      <c r="M1592" s="126"/>
      <c r="N1592" s="126"/>
      <c r="O1592" s="126"/>
      <c r="P1592" s="135"/>
      <c r="Q1592" s="135"/>
    </row>
    <row r="1593" spans="11:17" ht="12.75">
      <c r="K1593" s="118"/>
      <c r="L1593" s="118"/>
      <c r="M1593" s="126"/>
      <c r="N1593" s="126"/>
      <c r="O1593" s="126"/>
      <c r="P1593" s="135"/>
      <c r="Q1593" s="135"/>
    </row>
    <row r="1594" spans="11:17" ht="12.75">
      <c r="K1594" s="118"/>
      <c r="L1594" s="118"/>
      <c r="M1594" s="126"/>
      <c r="N1594" s="126"/>
      <c r="O1594" s="126"/>
      <c r="P1594" s="135"/>
      <c r="Q1594" s="135"/>
    </row>
    <row r="1595" spans="11:17" ht="12.75">
      <c r="K1595" s="118"/>
      <c r="L1595" s="118"/>
      <c r="M1595" s="126"/>
      <c r="N1595" s="126"/>
      <c r="O1595" s="126"/>
      <c r="P1595" s="135"/>
      <c r="Q1595" s="135"/>
    </row>
    <row r="1596" spans="11:17" ht="12.75">
      <c r="K1596" s="118"/>
      <c r="L1596" s="118"/>
      <c r="M1596" s="126"/>
      <c r="N1596" s="126"/>
      <c r="O1596" s="126"/>
      <c r="P1596" s="135"/>
      <c r="Q1596" s="135"/>
    </row>
    <row r="1597" spans="11:17" ht="12.75">
      <c r="K1597" s="118"/>
      <c r="L1597" s="118"/>
      <c r="M1597" s="126"/>
      <c r="N1597" s="126"/>
      <c r="O1597" s="126"/>
      <c r="P1597" s="135"/>
      <c r="Q1597" s="135"/>
    </row>
    <row r="1598" spans="11:17" ht="12.75">
      <c r="K1598" s="118"/>
      <c r="L1598" s="118"/>
      <c r="M1598" s="126"/>
      <c r="N1598" s="126"/>
      <c r="O1598" s="126"/>
      <c r="P1598" s="135"/>
      <c r="Q1598" s="135"/>
    </row>
    <row r="1599" spans="11:17" ht="12.75">
      <c r="K1599" s="118"/>
      <c r="L1599" s="118"/>
      <c r="M1599" s="126"/>
      <c r="N1599" s="126"/>
      <c r="O1599" s="126"/>
      <c r="P1599" s="135"/>
      <c r="Q1599" s="135"/>
    </row>
    <row r="1600" spans="11:17" ht="12.75">
      <c r="K1600" s="118"/>
      <c r="L1600" s="118"/>
      <c r="M1600" s="126"/>
      <c r="N1600" s="126"/>
      <c r="O1600" s="126"/>
      <c r="P1600" s="135"/>
      <c r="Q1600" s="135"/>
    </row>
    <row r="1601" spans="11:17" ht="12.75">
      <c r="K1601" s="118"/>
      <c r="L1601" s="118"/>
      <c r="M1601" s="126"/>
      <c r="N1601" s="126"/>
      <c r="O1601" s="126"/>
      <c r="P1601" s="135"/>
      <c r="Q1601" s="135"/>
    </row>
    <row r="1602" spans="11:17" ht="12.75">
      <c r="K1602" s="118"/>
      <c r="L1602" s="118"/>
      <c r="M1602" s="126"/>
      <c r="N1602" s="126"/>
      <c r="O1602" s="126"/>
      <c r="P1602" s="135"/>
      <c r="Q1602" s="135"/>
    </row>
    <row r="1603" spans="11:17" ht="12.75">
      <c r="K1603" s="118"/>
      <c r="L1603" s="118"/>
      <c r="M1603" s="126"/>
      <c r="N1603" s="126"/>
      <c r="O1603" s="126"/>
      <c r="P1603" s="135"/>
      <c r="Q1603" s="135"/>
    </row>
    <row r="1604" spans="11:17" ht="12.75">
      <c r="K1604" s="118"/>
      <c r="L1604" s="118"/>
      <c r="M1604" s="126"/>
      <c r="N1604" s="126"/>
      <c r="O1604" s="126"/>
      <c r="P1604" s="135"/>
      <c r="Q1604" s="135"/>
    </row>
    <row r="1605" spans="11:17" ht="12.75">
      <c r="K1605" s="118"/>
      <c r="L1605" s="118"/>
      <c r="M1605" s="126"/>
      <c r="N1605" s="126"/>
      <c r="O1605" s="126"/>
      <c r="P1605" s="135"/>
      <c r="Q1605" s="135"/>
    </row>
    <row r="1606" spans="11:17" ht="12.75">
      <c r="K1606" s="118"/>
      <c r="L1606" s="118"/>
      <c r="M1606" s="126"/>
      <c r="N1606" s="126"/>
      <c r="O1606" s="126"/>
      <c r="P1606" s="135"/>
      <c r="Q1606" s="135"/>
    </row>
    <row r="1607" spans="11:17" ht="12.75">
      <c r="K1607" s="118"/>
      <c r="L1607" s="118"/>
      <c r="M1607" s="126"/>
      <c r="N1607" s="126"/>
      <c r="O1607" s="126"/>
      <c r="P1607" s="135"/>
      <c r="Q1607" s="135"/>
    </row>
    <row r="1608" spans="11:17" ht="12.75">
      <c r="K1608" s="118"/>
      <c r="L1608" s="118"/>
      <c r="M1608" s="126"/>
      <c r="N1608" s="126"/>
      <c r="O1608" s="126"/>
      <c r="P1608" s="135"/>
      <c r="Q1608" s="135"/>
    </row>
    <row r="1609" spans="11:17" ht="12.75">
      <c r="K1609" s="118"/>
      <c r="L1609" s="118"/>
      <c r="M1609" s="126"/>
      <c r="N1609" s="126"/>
      <c r="O1609" s="126"/>
      <c r="P1609" s="135"/>
      <c r="Q1609" s="135"/>
    </row>
    <row r="1610" spans="11:17" ht="12.75">
      <c r="K1610" s="118"/>
      <c r="L1610" s="118"/>
      <c r="M1610" s="126"/>
      <c r="N1610" s="126"/>
      <c r="O1610" s="126"/>
      <c r="P1610" s="135"/>
      <c r="Q1610" s="135"/>
    </row>
    <row r="1611" spans="11:17" ht="12.75">
      <c r="K1611" s="118"/>
      <c r="L1611" s="118"/>
      <c r="M1611" s="126"/>
      <c r="N1611" s="126"/>
      <c r="O1611" s="126"/>
      <c r="P1611" s="135"/>
      <c r="Q1611" s="135"/>
    </row>
    <row r="1612" spans="11:17" ht="12.75">
      <c r="K1612" s="118"/>
      <c r="L1612" s="118"/>
      <c r="M1612" s="126"/>
      <c r="N1612" s="126"/>
      <c r="O1612" s="126"/>
      <c r="P1612" s="135"/>
      <c r="Q1612" s="135"/>
    </row>
    <row r="1613" spans="11:17" ht="12.75">
      <c r="K1613" s="118"/>
      <c r="L1613" s="118"/>
      <c r="M1613" s="126"/>
      <c r="N1613" s="126"/>
      <c r="O1613" s="126"/>
      <c r="P1613" s="135"/>
      <c r="Q1613" s="135"/>
    </row>
    <row r="1614" spans="11:17" ht="12.75">
      <c r="K1614" s="118"/>
      <c r="L1614" s="118"/>
      <c r="M1614" s="126"/>
      <c r="N1614" s="126"/>
      <c r="O1614" s="126"/>
      <c r="P1614" s="135"/>
      <c r="Q1614" s="135"/>
    </row>
    <row r="1615" spans="11:17" ht="12.75">
      <c r="K1615" s="118"/>
      <c r="L1615" s="118"/>
      <c r="M1615" s="126"/>
      <c r="N1615" s="126"/>
      <c r="O1615" s="126"/>
      <c r="P1615" s="135"/>
      <c r="Q1615" s="135"/>
    </row>
    <row r="1616" spans="11:17" ht="12.75">
      <c r="K1616" s="118"/>
      <c r="L1616" s="118"/>
      <c r="M1616" s="126"/>
      <c r="N1616" s="126"/>
      <c r="O1616" s="126"/>
      <c r="P1616" s="135"/>
      <c r="Q1616" s="135"/>
    </row>
    <row r="1617" spans="11:17" ht="12.75">
      <c r="K1617" s="118"/>
      <c r="L1617" s="118"/>
      <c r="M1617" s="126"/>
      <c r="N1617" s="126"/>
      <c r="O1617" s="126"/>
      <c r="P1617" s="135"/>
      <c r="Q1617" s="135"/>
    </row>
    <row r="1618" spans="11:17" ht="12.75">
      <c r="K1618" s="118"/>
      <c r="L1618" s="118"/>
      <c r="M1618" s="126"/>
      <c r="N1618" s="126"/>
      <c r="O1618" s="126"/>
      <c r="P1618" s="135"/>
      <c r="Q1618" s="135"/>
    </row>
    <row r="1619" spans="11:17" ht="12.75">
      <c r="K1619" s="118"/>
      <c r="L1619" s="118"/>
      <c r="M1619" s="126"/>
      <c r="N1619" s="126"/>
      <c r="O1619" s="126"/>
      <c r="P1619" s="135"/>
      <c r="Q1619" s="135"/>
    </row>
    <row r="1620" spans="11:17" ht="12.75">
      <c r="K1620" s="118"/>
      <c r="L1620" s="118"/>
      <c r="M1620" s="126"/>
      <c r="N1620" s="126"/>
      <c r="O1620" s="126"/>
      <c r="P1620" s="135"/>
      <c r="Q1620" s="135"/>
    </row>
    <row r="1621" spans="11:17" ht="12.75">
      <c r="K1621" s="118"/>
      <c r="L1621" s="118"/>
      <c r="M1621" s="126"/>
      <c r="N1621" s="126"/>
      <c r="O1621" s="126"/>
      <c r="P1621" s="135"/>
      <c r="Q1621" s="135"/>
    </row>
    <row r="1622" spans="11:17" ht="12.75">
      <c r="K1622" s="118"/>
      <c r="L1622" s="118"/>
      <c r="M1622" s="126"/>
      <c r="N1622" s="126"/>
      <c r="O1622" s="126"/>
      <c r="P1622" s="135"/>
      <c r="Q1622" s="135"/>
    </row>
    <row r="1623" spans="11:17" ht="12.75">
      <c r="K1623" s="118"/>
      <c r="L1623" s="118"/>
      <c r="M1623" s="126"/>
      <c r="N1623" s="126"/>
      <c r="O1623" s="126"/>
      <c r="P1623" s="135"/>
      <c r="Q1623" s="135"/>
    </row>
    <row r="1624" spans="11:17" ht="12.75">
      <c r="K1624" s="118"/>
      <c r="L1624" s="118"/>
      <c r="M1624" s="126"/>
      <c r="N1624" s="126"/>
      <c r="O1624" s="126"/>
      <c r="P1624" s="135"/>
      <c r="Q1624" s="135"/>
    </row>
    <row r="1625" spans="11:17" ht="12.75">
      <c r="K1625" s="118"/>
      <c r="L1625" s="118"/>
      <c r="M1625" s="126"/>
      <c r="N1625" s="126"/>
      <c r="O1625" s="126"/>
      <c r="P1625" s="135"/>
      <c r="Q1625" s="135"/>
    </row>
    <row r="1626" spans="11:17" ht="12.75">
      <c r="K1626" s="118"/>
      <c r="L1626" s="118"/>
      <c r="M1626" s="126"/>
      <c r="N1626" s="126"/>
      <c r="O1626" s="126"/>
      <c r="P1626" s="135"/>
      <c r="Q1626" s="135"/>
    </row>
    <row r="1627" spans="11:17" ht="12.75">
      <c r="K1627" s="118"/>
      <c r="L1627" s="118"/>
      <c r="M1627" s="126"/>
      <c r="N1627" s="126"/>
      <c r="O1627" s="126"/>
      <c r="P1627" s="135"/>
      <c r="Q1627" s="135"/>
    </row>
    <row r="1628" spans="11:17" ht="12.75">
      <c r="K1628" s="118"/>
      <c r="L1628" s="118"/>
      <c r="M1628" s="126"/>
      <c r="N1628" s="126"/>
      <c r="O1628" s="126"/>
      <c r="P1628" s="135"/>
      <c r="Q1628" s="135"/>
    </row>
    <row r="1629" spans="11:17" ht="12.75">
      <c r="K1629" s="118"/>
      <c r="L1629" s="118"/>
      <c r="M1629" s="126"/>
      <c r="N1629" s="126"/>
      <c r="O1629" s="126"/>
      <c r="P1629" s="135"/>
      <c r="Q1629" s="135"/>
    </row>
    <row r="1630" spans="11:17" ht="12.75">
      <c r="K1630" s="118"/>
      <c r="L1630" s="118"/>
      <c r="M1630" s="126"/>
      <c r="N1630" s="126"/>
      <c r="O1630" s="126"/>
      <c r="P1630" s="135"/>
      <c r="Q1630" s="135"/>
    </row>
    <row r="1631" spans="11:17" ht="12.75">
      <c r="K1631" s="118"/>
      <c r="L1631" s="118"/>
      <c r="M1631" s="126"/>
      <c r="N1631" s="126"/>
      <c r="O1631" s="126"/>
      <c r="P1631" s="135"/>
      <c r="Q1631" s="135"/>
    </row>
    <row r="1632" spans="11:17" ht="12.75">
      <c r="K1632" s="118"/>
      <c r="L1632" s="118"/>
      <c r="M1632" s="126"/>
      <c r="N1632" s="126"/>
      <c r="O1632" s="126"/>
      <c r="P1632" s="135"/>
      <c r="Q1632" s="135"/>
    </row>
    <row r="1633" spans="11:17" ht="12.75">
      <c r="K1633" s="118"/>
      <c r="L1633" s="118"/>
      <c r="M1633" s="126"/>
      <c r="N1633" s="126"/>
      <c r="O1633" s="126"/>
      <c r="P1633" s="135"/>
      <c r="Q1633" s="135"/>
    </row>
    <row r="1634" spans="11:17" ht="12.75">
      <c r="K1634" s="118"/>
      <c r="L1634" s="118"/>
      <c r="M1634" s="126"/>
      <c r="N1634" s="126"/>
      <c r="O1634" s="126"/>
      <c r="P1634" s="135"/>
      <c r="Q1634" s="135"/>
    </row>
    <row r="1635" spans="11:17" ht="12.75">
      <c r="K1635" s="118"/>
      <c r="L1635" s="118"/>
      <c r="M1635" s="126"/>
      <c r="N1635" s="126"/>
      <c r="O1635" s="126"/>
      <c r="P1635" s="135"/>
      <c r="Q1635" s="135"/>
    </row>
    <row r="1636" spans="11:17" ht="12.75">
      <c r="K1636" s="118"/>
      <c r="L1636" s="118"/>
      <c r="M1636" s="126"/>
      <c r="N1636" s="126"/>
      <c r="O1636" s="126"/>
      <c r="P1636" s="135"/>
      <c r="Q1636" s="135"/>
    </row>
    <row r="1637" spans="11:17" ht="12.75">
      <c r="K1637" s="118"/>
      <c r="L1637" s="118"/>
      <c r="M1637" s="126"/>
      <c r="N1637" s="126"/>
      <c r="O1637" s="126"/>
      <c r="P1637" s="135"/>
      <c r="Q1637" s="135"/>
    </row>
    <row r="1638" spans="11:17" ht="12.75">
      <c r="K1638" s="118"/>
      <c r="L1638" s="118"/>
      <c r="M1638" s="126"/>
      <c r="N1638" s="126"/>
      <c r="O1638" s="126"/>
      <c r="P1638" s="135"/>
      <c r="Q1638" s="135"/>
    </row>
    <row r="1639" spans="11:17" ht="12.75">
      <c r="K1639" s="118"/>
      <c r="L1639" s="118"/>
      <c r="M1639" s="126"/>
      <c r="N1639" s="126"/>
      <c r="O1639" s="126"/>
      <c r="P1639" s="135"/>
      <c r="Q1639" s="135"/>
    </row>
    <row r="1640" spans="11:17" ht="12.75">
      <c r="K1640" s="118"/>
      <c r="L1640" s="118"/>
      <c r="M1640" s="126"/>
      <c r="N1640" s="126"/>
      <c r="O1640" s="126"/>
      <c r="P1640" s="135"/>
      <c r="Q1640" s="135"/>
    </row>
    <row r="1641" spans="11:17" ht="12.75">
      <c r="K1641" s="118"/>
      <c r="L1641" s="118"/>
      <c r="M1641" s="126"/>
      <c r="N1641" s="126"/>
      <c r="O1641" s="126"/>
      <c r="P1641" s="135"/>
      <c r="Q1641" s="135"/>
    </row>
    <row r="1642" spans="11:17" ht="12.75">
      <c r="K1642" s="118"/>
      <c r="L1642" s="118"/>
      <c r="M1642" s="126"/>
      <c r="N1642" s="126"/>
      <c r="O1642" s="126"/>
      <c r="P1642" s="135"/>
      <c r="Q1642" s="135"/>
    </row>
    <row r="1643" spans="11:17" ht="12.75">
      <c r="K1643" s="118"/>
      <c r="L1643" s="118"/>
      <c r="M1643" s="126"/>
      <c r="N1643" s="126"/>
      <c r="O1643" s="126"/>
      <c r="P1643" s="135"/>
      <c r="Q1643" s="135"/>
    </row>
    <row r="1644" spans="11:17" ht="12.75">
      <c r="K1644" s="118"/>
      <c r="L1644" s="118"/>
      <c r="M1644" s="126"/>
      <c r="N1644" s="126"/>
      <c r="O1644" s="126"/>
      <c r="P1644" s="135"/>
      <c r="Q1644" s="135"/>
    </row>
    <row r="1645" spans="11:17" ht="12.75">
      <c r="K1645" s="118"/>
      <c r="L1645" s="118"/>
      <c r="M1645" s="126"/>
      <c r="N1645" s="126"/>
      <c r="O1645" s="126"/>
      <c r="P1645" s="135"/>
      <c r="Q1645" s="135"/>
    </row>
    <row r="1646" spans="11:17" ht="12.75">
      <c r="K1646" s="118"/>
      <c r="L1646" s="118"/>
      <c r="M1646" s="126"/>
      <c r="N1646" s="126"/>
      <c r="O1646" s="126"/>
      <c r="P1646" s="135"/>
      <c r="Q1646" s="135"/>
    </row>
    <row r="1647" spans="11:17" ht="12.75">
      <c r="K1647" s="118"/>
      <c r="L1647" s="118"/>
      <c r="M1647" s="126"/>
      <c r="N1647" s="126"/>
      <c r="O1647" s="126"/>
      <c r="P1647" s="135"/>
      <c r="Q1647" s="135"/>
    </row>
    <row r="1648" spans="11:17" ht="12.75">
      <c r="K1648" s="118"/>
      <c r="L1648" s="118"/>
      <c r="M1648" s="126"/>
      <c r="N1648" s="126"/>
      <c r="O1648" s="126"/>
      <c r="P1648" s="135"/>
      <c r="Q1648" s="135"/>
    </row>
    <row r="1649" spans="11:17" ht="12.75">
      <c r="K1649" s="118"/>
      <c r="L1649" s="118"/>
      <c r="M1649" s="126"/>
      <c r="N1649" s="126"/>
      <c r="O1649" s="126"/>
      <c r="P1649" s="135"/>
      <c r="Q1649" s="135"/>
    </row>
    <row r="1650" spans="11:17" ht="12.75">
      <c r="K1650" s="118"/>
      <c r="L1650" s="118"/>
      <c r="M1650" s="126"/>
      <c r="N1650" s="126"/>
      <c r="O1650" s="126"/>
      <c r="P1650" s="135"/>
      <c r="Q1650" s="135"/>
    </row>
    <row r="1651" spans="11:17" ht="12.75">
      <c r="K1651" s="118"/>
      <c r="L1651" s="118"/>
      <c r="M1651" s="126"/>
      <c r="N1651" s="126"/>
      <c r="O1651" s="126"/>
      <c r="P1651" s="135"/>
      <c r="Q1651" s="135"/>
    </row>
    <row r="1652" spans="11:17" ht="12.75">
      <c r="K1652" s="118"/>
      <c r="L1652" s="118"/>
      <c r="M1652" s="126"/>
      <c r="N1652" s="126"/>
      <c r="O1652" s="126"/>
      <c r="P1652" s="135"/>
      <c r="Q1652" s="135"/>
    </row>
    <row r="1653" spans="11:17" ht="12.75">
      <c r="K1653" s="118"/>
      <c r="L1653" s="118"/>
      <c r="M1653" s="126"/>
      <c r="N1653" s="126"/>
      <c r="O1653" s="126"/>
      <c r="P1653" s="135"/>
      <c r="Q1653" s="135"/>
    </row>
    <row r="1654" spans="11:17" ht="12.75">
      <c r="K1654" s="118"/>
      <c r="L1654" s="118"/>
      <c r="M1654" s="126"/>
      <c r="N1654" s="126"/>
      <c r="O1654" s="126"/>
      <c r="P1654" s="135"/>
      <c r="Q1654" s="135"/>
    </row>
    <row r="1655" spans="11:17" ht="12.75">
      <c r="K1655" s="118"/>
      <c r="L1655" s="118"/>
      <c r="M1655" s="126"/>
      <c r="N1655" s="126"/>
      <c r="O1655" s="126"/>
      <c r="P1655" s="135"/>
      <c r="Q1655" s="135"/>
    </row>
    <row r="1656" spans="11:17" ht="12.75">
      <c r="K1656" s="118"/>
      <c r="L1656" s="118"/>
      <c r="M1656" s="126"/>
      <c r="N1656" s="126"/>
      <c r="O1656" s="126"/>
      <c r="P1656" s="135"/>
      <c r="Q1656" s="135"/>
    </row>
    <row r="1657" spans="11:17" ht="12.75">
      <c r="K1657" s="118"/>
      <c r="L1657" s="118"/>
      <c r="M1657" s="126"/>
      <c r="N1657" s="126"/>
      <c r="O1657" s="126"/>
      <c r="P1657" s="135"/>
      <c r="Q1657" s="135"/>
    </row>
    <row r="1658" spans="11:17" ht="12.75">
      <c r="K1658" s="118"/>
      <c r="L1658" s="118"/>
      <c r="M1658" s="126"/>
      <c r="N1658" s="126"/>
      <c r="O1658" s="126"/>
      <c r="P1658" s="135"/>
      <c r="Q1658" s="135"/>
    </row>
    <row r="1659" spans="11:17" ht="12.75">
      <c r="K1659" s="118"/>
      <c r="L1659" s="118"/>
      <c r="M1659" s="126"/>
      <c r="N1659" s="126"/>
      <c r="O1659" s="126"/>
      <c r="P1659" s="135"/>
      <c r="Q1659" s="135"/>
    </row>
    <row r="1660" spans="11:17" ht="12.75">
      <c r="K1660" s="118"/>
      <c r="L1660" s="118"/>
      <c r="M1660" s="126"/>
      <c r="N1660" s="126"/>
      <c r="O1660" s="126"/>
      <c r="P1660" s="135"/>
      <c r="Q1660" s="135"/>
    </row>
    <row r="1661" spans="11:17" ht="12.75">
      <c r="K1661" s="118"/>
      <c r="L1661" s="118"/>
      <c r="M1661" s="126"/>
      <c r="N1661" s="126"/>
      <c r="O1661" s="126"/>
      <c r="P1661" s="135"/>
      <c r="Q1661" s="135"/>
    </row>
    <row r="1662" spans="11:17" ht="12.75">
      <c r="K1662" s="118"/>
      <c r="L1662" s="118"/>
      <c r="M1662" s="126"/>
      <c r="N1662" s="126"/>
      <c r="O1662" s="126"/>
      <c r="P1662" s="135"/>
      <c r="Q1662" s="135"/>
    </row>
    <row r="1663" spans="11:17" ht="12.75">
      <c r="K1663" s="118"/>
      <c r="L1663" s="118"/>
      <c r="M1663" s="126"/>
      <c r="N1663" s="126"/>
      <c r="O1663" s="126"/>
      <c r="P1663" s="135"/>
      <c r="Q1663" s="135"/>
    </row>
    <row r="1664" spans="11:17" ht="12.75">
      <c r="K1664" s="118"/>
      <c r="L1664" s="118"/>
      <c r="M1664" s="126"/>
      <c r="N1664" s="126"/>
      <c r="O1664" s="126"/>
      <c r="P1664" s="135"/>
      <c r="Q1664" s="135"/>
    </row>
    <row r="1665" spans="11:17" ht="12.75">
      <c r="K1665" s="118"/>
      <c r="L1665" s="118"/>
      <c r="M1665" s="126"/>
      <c r="N1665" s="126"/>
      <c r="O1665" s="126"/>
      <c r="P1665" s="135"/>
      <c r="Q1665" s="135"/>
    </row>
    <row r="1666" spans="11:17" ht="12.75">
      <c r="K1666" s="118"/>
      <c r="L1666" s="118"/>
      <c r="M1666" s="126"/>
      <c r="N1666" s="126"/>
      <c r="O1666" s="126"/>
      <c r="P1666" s="135"/>
      <c r="Q1666" s="135"/>
    </row>
    <row r="1667" spans="11:17" ht="12.75">
      <c r="K1667" s="118"/>
      <c r="L1667" s="118"/>
      <c r="M1667" s="126"/>
      <c r="N1667" s="126"/>
      <c r="O1667" s="126"/>
      <c r="P1667" s="135"/>
      <c r="Q1667" s="135"/>
    </row>
    <row r="1668" spans="11:17" ht="12.75">
      <c r="K1668" s="118"/>
      <c r="L1668" s="118"/>
      <c r="M1668" s="126"/>
      <c r="N1668" s="126"/>
      <c r="O1668" s="126"/>
      <c r="P1668" s="135"/>
      <c r="Q1668" s="135"/>
    </row>
    <row r="1669" spans="11:17" ht="12.75">
      <c r="K1669" s="118"/>
      <c r="L1669" s="118"/>
      <c r="M1669" s="126"/>
      <c r="N1669" s="126"/>
      <c r="O1669" s="126"/>
      <c r="P1669" s="135"/>
      <c r="Q1669" s="135"/>
    </row>
    <row r="1670" spans="11:17" ht="12.75">
      <c r="K1670" s="118"/>
      <c r="L1670" s="118"/>
      <c r="M1670" s="126"/>
      <c r="N1670" s="126"/>
      <c r="O1670" s="126"/>
      <c r="P1670" s="135"/>
      <c r="Q1670" s="135"/>
    </row>
    <row r="1671" spans="11:17" ht="12.75">
      <c r="K1671" s="118"/>
      <c r="L1671" s="118"/>
      <c r="M1671" s="126"/>
      <c r="N1671" s="126"/>
      <c r="O1671" s="126"/>
      <c r="P1671" s="135"/>
      <c r="Q1671" s="135"/>
    </row>
    <row r="1672" spans="11:17" ht="12.75">
      <c r="K1672" s="118"/>
      <c r="L1672" s="118"/>
      <c r="M1672" s="126"/>
      <c r="N1672" s="126"/>
      <c r="O1672" s="126"/>
      <c r="P1672" s="135"/>
      <c r="Q1672" s="135"/>
    </row>
    <row r="1673" spans="11:17" ht="12.75">
      <c r="K1673" s="118"/>
      <c r="L1673" s="118"/>
      <c r="M1673" s="126"/>
      <c r="N1673" s="126"/>
      <c r="O1673" s="126"/>
      <c r="P1673" s="135"/>
      <c r="Q1673" s="135"/>
    </row>
    <row r="1674" spans="11:17" ht="12.75">
      <c r="K1674" s="118"/>
      <c r="L1674" s="118"/>
      <c r="M1674" s="126"/>
      <c r="N1674" s="126"/>
      <c r="O1674" s="126"/>
      <c r="P1674" s="135"/>
      <c r="Q1674" s="135"/>
    </row>
    <row r="1675" spans="11:17" ht="12.75">
      <c r="K1675" s="118"/>
      <c r="L1675" s="118"/>
      <c r="M1675" s="126"/>
      <c r="N1675" s="126"/>
      <c r="O1675" s="126"/>
      <c r="P1675" s="135"/>
      <c r="Q1675" s="135"/>
    </row>
    <row r="1676" spans="11:17" ht="12.75">
      <c r="K1676" s="118"/>
      <c r="L1676" s="118"/>
      <c r="M1676" s="126"/>
      <c r="N1676" s="126"/>
      <c r="O1676" s="126"/>
      <c r="P1676" s="135"/>
      <c r="Q1676" s="135"/>
    </row>
    <row r="1677" spans="11:17" ht="12.75">
      <c r="K1677" s="118"/>
      <c r="L1677" s="118"/>
      <c r="M1677" s="126"/>
      <c r="N1677" s="126"/>
      <c r="O1677" s="126"/>
      <c r="P1677" s="135"/>
      <c r="Q1677" s="135"/>
    </row>
    <row r="1678" spans="11:17" ht="12.75">
      <c r="K1678" s="118"/>
      <c r="L1678" s="118"/>
      <c r="M1678" s="126"/>
      <c r="N1678" s="126"/>
      <c r="O1678" s="126"/>
      <c r="P1678" s="135"/>
      <c r="Q1678" s="135"/>
    </row>
    <row r="1679" spans="11:17" ht="12.75">
      <c r="K1679" s="118"/>
      <c r="L1679" s="118"/>
      <c r="M1679" s="126"/>
      <c r="N1679" s="126"/>
      <c r="O1679" s="126"/>
      <c r="P1679" s="135"/>
      <c r="Q1679" s="135"/>
    </row>
    <row r="1680" spans="11:17" ht="12.75">
      <c r="K1680" s="118"/>
      <c r="L1680" s="118"/>
      <c r="M1680" s="126"/>
      <c r="N1680" s="126"/>
      <c r="O1680" s="126"/>
      <c r="P1680" s="135"/>
      <c r="Q1680" s="135"/>
    </row>
    <row r="1681" spans="11:17" ht="12.75">
      <c r="K1681" s="118"/>
      <c r="L1681" s="118"/>
      <c r="M1681" s="126"/>
      <c r="N1681" s="126"/>
      <c r="O1681" s="126"/>
      <c r="P1681" s="135"/>
      <c r="Q1681" s="135"/>
    </row>
    <row r="1682" spans="11:17" ht="12.75">
      <c r="K1682" s="118"/>
      <c r="L1682" s="118"/>
      <c r="M1682" s="126"/>
      <c r="N1682" s="126"/>
      <c r="O1682" s="126"/>
      <c r="P1682" s="135"/>
      <c r="Q1682" s="135"/>
    </row>
    <row r="1683" spans="11:17" ht="12.75">
      <c r="K1683" s="118"/>
      <c r="L1683" s="118"/>
      <c r="M1683" s="126"/>
      <c r="N1683" s="126"/>
      <c r="O1683" s="126"/>
      <c r="P1683" s="135"/>
      <c r="Q1683" s="135"/>
    </row>
    <row r="1684" spans="11:17" ht="12.75">
      <c r="K1684" s="118"/>
      <c r="L1684" s="118"/>
      <c r="M1684" s="126"/>
      <c r="N1684" s="126"/>
      <c r="O1684" s="126"/>
      <c r="P1684" s="135"/>
      <c r="Q1684" s="135"/>
    </row>
    <row r="1685" spans="11:17" ht="12.75">
      <c r="K1685" s="118"/>
      <c r="L1685" s="118"/>
      <c r="M1685" s="126"/>
      <c r="N1685" s="126"/>
      <c r="O1685" s="126"/>
      <c r="P1685" s="135"/>
      <c r="Q1685" s="135"/>
    </row>
    <row r="1686" spans="11:17" ht="12.75">
      <c r="K1686" s="118"/>
      <c r="L1686" s="118"/>
      <c r="M1686" s="126"/>
      <c r="N1686" s="126"/>
      <c r="O1686" s="126"/>
      <c r="P1686" s="135"/>
      <c r="Q1686" s="135"/>
    </row>
    <row r="1687" spans="11:17" ht="12.75">
      <c r="K1687" s="118"/>
      <c r="L1687" s="118"/>
      <c r="M1687" s="126"/>
      <c r="N1687" s="126"/>
      <c r="O1687" s="126"/>
      <c r="P1687" s="135"/>
      <c r="Q1687" s="135"/>
    </row>
    <row r="1688" spans="11:17" ht="12.75">
      <c r="K1688" s="118"/>
      <c r="L1688" s="118"/>
      <c r="M1688" s="126"/>
      <c r="N1688" s="126"/>
      <c r="O1688" s="126"/>
      <c r="P1688" s="135"/>
      <c r="Q1688" s="135"/>
    </row>
    <row r="1689" spans="11:17" ht="12.75">
      <c r="K1689" s="118"/>
      <c r="L1689" s="118"/>
      <c r="M1689" s="126"/>
      <c r="N1689" s="126"/>
      <c r="O1689" s="126"/>
      <c r="P1689" s="135"/>
      <c r="Q1689" s="135"/>
    </row>
    <row r="1690" spans="11:17" ht="12.75">
      <c r="K1690" s="118"/>
      <c r="L1690" s="118"/>
      <c r="M1690" s="126"/>
      <c r="N1690" s="126"/>
      <c r="O1690" s="126"/>
      <c r="P1690" s="135"/>
      <c r="Q1690" s="135"/>
    </row>
    <row r="1691" spans="11:17" ht="12.75">
      <c r="K1691" s="118"/>
      <c r="L1691" s="118"/>
      <c r="M1691" s="126"/>
      <c r="N1691" s="126"/>
      <c r="O1691" s="126"/>
      <c r="P1691" s="135"/>
      <c r="Q1691" s="135"/>
    </row>
    <row r="1692" spans="11:17" ht="12.75">
      <c r="K1692" s="118"/>
      <c r="L1692" s="118"/>
      <c r="M1692" s="126"/>
      <c r="N1692" s="126"/>
      <c r="O1692" s="126"/>
      <c r="P1692" s="135"/>
      <c r="Q1692" s="135"/>
    </row>
    <row r="1693" spans="11:17" ht="12.75">
      <c r="K1693" s="118"/>
      <c r="L1693" s="118"/>
      <c r="M1693" s="126"/>
      <c r="N1693" s="126"/>
      <c r="O1693" s="126"/>
      <c r="P1693" s="135"/>
      <c r="Q1693" s="135"/>
    </row>
    <row r="1694" spans="11:17" ht="12.75">
      <c r="K1694" s="118"/>
      <c r="L1694" s="118"/>
      <c r="M1694" s="126"/>
      <c r="N1694" s="126"/>
      <c r="O1694" s="126"/>
      <c r="P1694" s="135"/>
      <c r="Q1694" s="135"/>
    </row>
    <row r="1695" spans="11:17" ht="12.75">
      <c r="K1695" s="118"/>
      <c r="L1695" s="118"/>
      <c r="M1695" s="126"/>
      <c r="N1695" s="126"/>
      <c r="O1695" s="126"/>
      <c r="P1695" s="135"/>
      <c r="Q1695" s="135"/>
    </row>
    <row r="1696" spans="11:17" ht="12.75">
      <c r="K1696" s="118"/>
      <c r="L1696" s="118"/>
      <c r="M1696" s="126"/>
      <c r="N1696" s="126"/>
      <c r="O1696" s="126"/>
      <c r="P1696" s="135"/>
      <c r="Q1696" s="135"/>
    </row>
    <row r="1697" spans="11:17" ht="12.75">
      <c r="K1697" s="118"/>
      <c r="L1697" s="118"/>
      <c r="M1697" s="126"/>
      <c r="N1697" s="126"/>
      <c r="O1697" s="126"/>
      <c r="P1697" s="135"/>
      <c r="Q1697" s="135"/>
    </row>
    <row r="1698" spans="11:17" ht="12.75">
      <c r="K1698" s="118"/>
      <c r="L1698" s="118"/>
      <c r="M1698" s="126"/>
      <c r="N1698" s="126"/>
      <c r="O1698" s="126"/>
      <c r="P1698" s="135"/>
      <c r="Q1698" s="135"/>
    </row>
    <row r="1699" spans="11:17" ht="12.75">
      <c r="K1699" s="118"/>
      <c r="L1699" s="118"/>
      <c r="M1699" s="126"/>
      <c r="N1699" s="126"/>
      <c r="O1699" s="126"/>
      <c r="P1699" s="135"/>
      <c r="Q1699" s="135"/>
    </row>
    <row r="1700" spans="11:17" ht="12.75">
      <c r="K1700" s="118"/>
      <c r="L1700" s="118"/>
      <c r="M1700" s="126"/>
      <c r="N1700" s="126"/>
      <c r="O1700" s="126"/>
      <c r="P1700" s="135"/>
      <c r="Q1700" s="135"/>
    </row>
    <row r="1701" spans="11:17" ht="12.75">
      <c r="K1701" s="118"/>
      <c r="L1701" s="118"/>
      <c r="M1701" s="126"/>
      <c r="N1701" s="126"/>
      <c r="O1701" s="126"/>
      <c r="P1701" s="135"/>
      <c r="Q1701" s="135"/>
    </row>
    <row r="1702" spans="11:17" ht="12.75">
      <c r="K1702" s="118"/>
      <c r="L1702" s="118"/>
      <c r="M1702" s="126"/>
      <c r="N1702" s="126"/>
      <c r="O1702" s="126"/>
      <c r="P1702" s="135"/>
      <c r="Q1702" s="135"/>
    </row>
    <row r="1703" spans="11:17" ht="12.75">
      <c r="K1703" s="118"/>
      <c r="L1703" s="118"/>
      <c r="M1703" s="126"/>
      <c r="N1703" s="126"/>
      <c r="O1703" s="126"/>
      <c r="P1703" s="135"/>
      <c r="Q1703" s="135"/>
    </row>
    <row r="1704" spans="11:17" ht="12.75">
      <c r="K1704" s="118"/>
      <c r="L1704" s="118"/>
      <c r="M1704" s="126"/>
      <c r="N1704" s="126"/>
      <c r="O1704" s="126"/>
      <c r="P1704" s="135"/>
      <c r="Q1704" s="135"/>
    </row>
    <row r="1705" spans="11:17" ht="12.75">
      <c r="K1705" s="118"/>
      <c r="L1705" s="118"/>
      <c r="M1705" s="126"/>
      <c r="N1705" s="126"/>
      <c r="O1705" s="126"/>
      <c r="P1705" s="135"/>
      <c r="Q1705" s="135"/>
    </row>
    <row r="1706" spans="11:17" ht="12.75">
      <c r="K1706" s="118"/>
      <c r="L1706" s="118"/>
      <c r="M1706" s="126"/>
      <c r="N1706" s="126"/>
      <c r="O1706" s="126"/>
      <c r="P1706" s="135"/>
      <c r="Q1706" s="135"/>
    </row>
    <row r="1707" spans="11:17" ht="12.75">
      <c r="K1707" s="118"/>
      <c r="L1707" s="118"/>
      <c r="M1707" s="126"/>
      <c r="N1707" s="126"/>
      <c r="O1707" s="126"/>
      <c r="P1707" s="135"/>
      <c r="Q1707" s="135"/>
    </row>
    <row r="1708" spans="11:17" ht="12.75">
      <c r="K1708" s="118"/>
      <c r="L1708" s="118"/>
      <c r="M1708" s="126"/>
      <c r="N1708" s="126"/>
      <c r="O1708" s="126"/>
      <c r="P1708" s="135"/>
      <c r="Q1708" s="135"/>
    </row>
    <row r="1709" spans="11:17" ht="12.75">
      <c r="K1709" s="118"/>
      <c r="L1709" s="118"/>
      <c r="M1709" s="126"/>
      <c r="N1709" s="126"/>
      <c r="O1709" s="126"/>
      <c r="P1709" s="135"/>
      <c r="Q1709" s="135"/>
    </row>
    <row r="1710" spans="11:17" ht="12.75">
      <c r="K1710" s="118"/>
      <c r="L1710" s="118"/>
      <c r="M1710" s="126"/>
      <c r="N1710" s="126"/>
      <c r="O1710" s="126"/>
      <c r="P1710" s="135"/>
      <c r="Q1710" s="135"/>
    </row>
    <row r="1711" spans="11:17" ht="12.75">
      <c r="K1711" s="118"/>
      <c r="L1711" s="118"/>
      <c r="M1711" s="126"/>
      <c r="N1711" s="126"/>
      <c r="O1711" s="126"/>
      <c r="P1711" s="135"/>
      <c r="Q1711" s="135"/>
    </row>
    <row r="1712" spans="11:17" ht="12.75">
      <c r="K1712" s="118"/>
      <c r="L1712" s="118"/>
      <c r="M1712" s="126"/>
      <c r="N1712" s="126"/>
      <c r="O1712" s="126"/>
      <c r="P1712" s="135"/>
      <c r="Q1712" s="135"/>
    </row>
    <row r="1713" spans="11:17" ht="12.75">
      <c r="K1713" s="118"/>
      <c r="L1713" s="118"/>
      <c r="M1713" s="126"/>
      <c r="N1713" s="126"/>
      <c r="O1713" s="126"/>
      <c r="P1713" s="135"/>
      <c r="Q1713" s="135"/>
    </row>
    <row r="1714" spans="11:17" ht="12.75">
      <c r="K1714" s="118"/>
      <c r="L1714" s="118"/>
      <c r="M1714" s="126"/>
      <c r="N1714" s="126"/>
      <c r="O1714" s="126"/>
      <c r="P1714" s="135"/>
      <c r="Q1714" s="135"/>
    </row>
    <row r="1715" spans="11:17" ht="12.75">
      <c r="K1715" s="118"/>
      <c r="L1715" s="118"/>
      <c r="M1715" s="126"/>
      <c r="N1715" s="126"/>
      <c r="O1715" s="126"/>
      <c r="P1715" s="135"/>
      <c r="Q1715" s="135"/>
    </row>
    <row r="1716" spans="11:17" ht="12.75">
      <c r="K1716" s="118"/>
      <c r="L1716" s="118"/>
      <c r="M1716" s="126"/>
      <c r="N1716" s="126"/>
      <c r="O1716" s="126"/>
      <c r="P1716" s="135"/>
      <c r="Q1716" s="135"/>
    </row>
    <row r="1717" spans="11:17" ht="12.75">
      <c r="K1717" s="118"/>
      <c r="L1717" s="118"/>
      <c r="M1717" s="126"/>
      <c r="N1717" s="126"/>
      <c r="O1717" s="126"/>
      <c r="P1717" s="135"/>
      <c r="Q1717" s="135"/>
    </row>
    <row r="1718" spans="11:17" ht="12.75">
      <c r="K1718" s="118"/>
      <c r="L1718" s="118"/>
      <c r="M1718" s="126"/>
      <c r="N1718" s="126"/>
      <c r="O1718" s="126"/>
      <c r="P1718" s="135"/>
      <c r="Q1718" s="135"/>
    </row>
    <row r="1719" spans="11:17" ht="12.75">
      <c r="K1719" s="118"/>
      <c r="L1719" s="118"/>
      <c r="M1719" s="126"/>
      <c r="N1719" s="126"/>
      <c r="O1719" s="126"/>
      <c r="P1719" s="135"/>
      <c r="Q1719" s="135"/>
    </row>
    <row r="1720" spans="11:17" ht="12.75">
      <c r="K1720" s="118"/>
      <c r="L1720" s="118"/>
      <c r="M1720" s="126"/>
      <c r="N1720" s="126"/>
      <c r="O1720" s="126"/>
      <c r="P1720" s="135"/>
      <c r="Q1720" s="135"/>
    </row>
    <row r="1721" spans="11:17" ht="12.75">
      <c r="K1721" s="118"/>
      <c r="L1721" s="118"/>
      <c r="M1721" s="126"/>
      <c r="N1721" s="126"/>
      <c r="O1721" s="126"/>
      <c r="P1721" s="135"/>
      <c r="Q1721" s="135"/>
    </row>
    <row r="1722" spans="11:17" ht="12.75">
      <c r="K1722" s="118"/>
      <c r="L1722" s="118"/>
      <c r="M1722" s="126"/>
      <c r="N1722" s="126"/>
      <c r="O1722" s="126"/>
      <c r="P1722" s="135"/>
      <c r="Q1722" s="135"/>
    </row>
    <row r="1723" spans="11:17" ht="12.75">
      <c r="K1723" s="118"/>
      <c r="L1723" s="118"/>
      <c r="M1723" s="126"/>
      <c r="N1723" s="126"/>
      <c r="O1723" s="126"/>
      <c r="P1723" s="135"/>
      <c r="Q1723" s="135"/>
    </row>
    <row r="1724" spans="11:17" ht="12.75">
      <c r="K1724" s="118"/>
      <c r="L1724" s="118"/>
      <c r="M1724" s="126"/>
      <c r="N1724" s="126"/>
      <c r="O1724" s="126"/>
      <c r="P1724" s="135"/>
      <c r="Q1724" s="135"/>
    </row>
    <row r="1725" spans="11:17" ht="12.75">
      <c r="K1725" s="118"/>
      <c r="L1725" s="118"/>
      <c r="M1725" s="126"/>
      <c r="N1725" s="126"/>
      <c r="O1725" s="126"/>
      <c r="P1725" s="135"/>
      <c r="Q1725" s="135"/>
    </row>
    <row r="1726" spans="11:17" ht="12.75">
      <c r="K1726" s="118"/>
      <c r="L1726" s="118"/>
      <c r="M1726" s="126"/>
      <c r="N1726" s="126"/>
      <c r="O1726" s="126"/>
      <c r="P1726" s="135"/>
      <c r="Q1726" s="135"/>
    </row>
    <row r="1727" spans="11:17" ht="12.75">
      <c r="K1727" s="118"/>
      <c r="L1727" s="118"/>
      <c r="M1727" s="126"/>
      <c r="N1727" s="126"/>
      <c r="O1727" s="126"/>
      <c r="P1727" s="135"/>
      <c r="Q1727" s="135"/>
    </row>
    <row r="1728" spans="11:17" ht="12.75">
      <c r="K1728" s="118"/>
      <c r="L1728" s="118"/>
      <c r="M1728" s="126"/>
      <c r="N1728" s="126"/>
      <c r="O1728" s="126"/>
      <c r="P1728" s="135"/>
      <c r="Q1728" s="135"/>
    </row>
    <row r="1729" spans="11:17" ht="12.75">
      <c r="K1729" s="118"/>
      <c r="L1729" s="118"/>
      <c r="M1729" s="126"/>
      <c r="N1729" s="126"/>
      <c r="O1729" s="126"/>
      <c r="P1729" s="135"/>
      <c r="Q1729" s="135"/>
    </row>
    <row r="1730" spans="11:17" ht="12.75">
      <c r="K1730" s="118"/>
      <c r="L1730" s="118"/>
      <c r="M1730" s="126"/>
      <c r="N1730" s="126"/>
      <c r="O1730" s="126"/>
      <c r="P1730" s="135"/>
      <c r="Q1730" s="135"/>
    </row>
    <row r="1731" spans="11:17" ht="12.75">
      <c r="K1731" s="118"/>
      <c r="L1731" s="118"/>
      <c r="M1731" s="126"/>
      <c r="N1731" s="126"/>
      <c r="O1731" s="126"/>
      <c r="P1731" s="135"/>
      <c r="Q1731" s="135"/>
    </row>
    <row r="1732" spans="11:17" ht="12.75">
      <c r="K1732" s="118"/>
      <c r="L1732" s="118"/>
      <c r="M1732" s="126"/>
      <c r="N1732" s="126"/>
      <c r="O1732" s="126"/>
      <c r="P1732" s="135"/>
      <c r="Q1732" s="135"/>
    </row>
    <row r="1733" spans="11:17" ht="12.75">
      <c r="K1733" s="118"/>
      <c r="L1733" s="118"/>
      <c r="M1733" s="126"/>
      <c r="N1733" s="126"/>
      <c r="O1733" s="126"/>
      <c r="P1733" s="135"/>
      <c r="Q1733" s="135"/>
    </row>
    <row r="1734" spans="11:17" ht="12.75">
      <c r="K1734" s="118"/>
      <c r="L1734" s="118"/>
      <c r="M1734" s="126"/>
      <c r="N1734" s="126"/>
      <c r="O1734" s="126"/>
      <c r="P1734" s="135"/>
      <c r="Q1734" s="135"/>
    </row>
    <row r="1735" spans="11:17" ht="12.75">
      <c r="K1735" s="118"/>
      <c r="L1735" s="118"/>
      <c r="M1735" s="126"/>
      <c r="N1735" s="126"/>
      <c r="O1735" s="126"/>
      <c r="P1735" s="135"/>
      <c r="Q1735" s="135"/>
    </row>
    <row r="1736" spans="11:17" ht="12.75">
      <c r="K1736" s="118"/>
      <c r="L1736" s="118"/>
      <c r="M1736" s="126"/>
      <c r="N1736" s="126"/>
      <c r="O1736" s="126"/>
      <c r="P1736" s="135"/>
      <c r="Q1736" s="135"/>
    </row>
    <row r="1737" spans="11:17" ht="12.75">
      <c r="K1737" s="118"/>
      <c r="L1737" s="118"/>
      <c r="M1737" s="126"/>
      <c r="N1737" s="126"/>
      <c r="O1737" s="126"/>
      <c r="P1737" s="135"/>
      <c r="Q1737" s="135"/>
    </row>
    <row r="1738" spans="11:17" ht="12.75">
      <c r="K1738" s="118"/>
      <c r="L1738" s="118"/>
      <c r="M1738" s="126"/>
      <c r="N1738" s="126"/>
      <c r="O1738" s="126"/>
      <c r="P1738" s="135"/>
      <c r="Q1738" s="135"/>
    </row>
    <row r="1739" spans="11:17" ht="12.75">
      <c r="K1739" s="118"/>
      <c r="L1739" s="118"/>
      <c r="M1739" s="126"/>
      <c r="N1739" s="126"/>
      <c r="O1739" s="126"/>
      <c r="P1739" s="135"/>
      <c r="Q1739" s="135"/>
    </row>
    <row r="1740" spans="11:17" ht="12.75">
      <c r="K1740" s="118"/>
      <c r="L1740" s="118"/>
      <c r="M1740" s="126"/>
      <c r="N1740" s="126"/>
      <c r="O1740" s="126"/>
      <c r="P1740" s="135"/>
      <c r="Q1740" s="135"/>
    </row>
    <row r="1741" spans="11:17" ht="12.75">
      <c r="K1741" s="118"/>
      <c r="L1741" s="118"/>
      <c r="M1741" s="126"/>
      <c r="N1741" s="126"/>
      <c r="O1741" s="126"/>
      <c r="P1741" s="135"/>
      <c r="Q1741" s="135"/>
    </row>
    <row r="1742" spans="11:17" ht="12.75">
      <c r="K1742" s="118"/>
      <c r="L1742" s="118"/>
      <c r="M1742" s="126"/>
      <c r="N1742" s="126"/>
      <c r="O1742" s="126"/>
      <c r="P1742" s="135"/>
      <c r="Q1742" s="135"/>
    </row>
    <row r="1743" spans="11:17" ht="12.75">
      <c r="K1743" s="118"/>
      <c r="L1743" s="118"/>
      <c r="M1743" s="126"/>
      <c r="N1743" s="126"/>
      <c r="O1743" s="126"/>
      <c r="P1743" s="135"/>
      <c r="Q1743" s="135"/>
    </row>
    <row r="1744" spans="11:17" ht="12.75">
      <c r="K1744" s="118"/>
      <c r="L1744" s="118"/>
      <c r="M1744" s="126"/>
      <c r="N1744" s="126"/>
      <c r="O1744" s="126"/>
      <c r="P1744" s="135"/>
      <c r="Q1744" s="135"/>
    </row>
    <row r="1745" spans="11:17" ht="12.75">
      <c r="K1745" s="118"/>
      <c r="L1745" s="118"/>
      <c r="M1745" s="126"/>
      <c r="N1745" s="126"/>
      <c r="O1745" s="126"/>
      <c r="P1745" s="135"/>
      <c r="Q1745" s="135"/>
    </row>
    <row r="1746" spans="11:17" ht="12.75">
      <c r="K1746" s="118"/>
      <c r="L1746" s="118"/>
      <c r="M1746" s="126"/>
      <c r="N1746" s="126"/>
      <c r="O1746" s="126"/>
      <c r="P1746" s="135"/>
      <c r="Q1746" s="135"/>
    </row>
    <row r="1747" spans="11:17" ht="12.75">
      <c r="K1747" s="118"/>
      <c r="L1747" s="118"/>
      <c r="M1747" s="126"/>
      <c r="N1747" s="126"/>
      <c r="O1747" s="126"/>
      <c r="P1747" s="135"/>
      <c r="Q1747" s="135"/>
    </row>
    <row r="1748" spans="11:17" ht="12.75">
      <c r="K1748" s="118"/>
      <c r="L1748" s="118"/>
      <c r="M1748" s="126"/>
      <c r="N1748" s="126"/>
      <c r="O1748" s="126"/>
      <c r="P1748" s="135"/>
      <c r="Q1748" s="135"/>
    </row>
    <row r="1749" spans="11:17" ht="12.75">
      <c r="K1749" s="118"/>
      <c r="L1749" s="118"/>
      <c r="M1749" s="126"/>
      <c r="N1749" s="126"/>
      <c r="O1749" s="126"/>
      <c r="P1749" s="135"/>
      <c r="Q1749" s="135"/>
    </row>
    <row r="1750" spans="11:17" ht="12.75">
      <c r="K1750" s="118"/>
      <c r="L1750" s="118"/>
      <c r="M1750" s="126"/>
      <c r="N1750" s="126"/>
      <c r="O1750" s="126"/>
      <c r="P1750" s="135"/>
      <c r="Q1750" s="135"/>
    </row>
    <row r="1751" spans="11:17" ht="12.75">
      <c r="K1751" s="118"/>
      <c r="L1751" s="118"/>
      <c r="M1751" s="126"/>
      <c r="N1751" s="126"/>
      <c r="O1751" s="126"/>
      <c r="P1751" s="135"/>
      <c r="Q1751" s="135"/>
    </row>
    <row r="1752" spans="11:17" ht="12.75">
      <c r="K1752" s="118"/>
      <c r="L1752" s="118"/>
      <c r="M1752" s="126"/>
      <c r="N1752" s="126"/>
      <c r="O1752" s="126"/>
      <c r="P1752" s="135"/>
      <c r="Q1752" s="135"/>
    </row>
    <row r="1753" spans="11:17" ht="12.75">
      <c r="K1753" s="118"/>
      <c r="L1753" s="118"/>
      <c r="M1753" s="126"/>
      <c r="N1753" s="126"/>
      <c r="O1753" s="126"/>
      <c r="P1753" s="135"/>
      <c r="Q1753" s="135"/>
    </row>
    <row r="1754" spans="11:17" ht="12.75">
      <c r="K1754" s="118"/>
      <c r="L1754" s="118"/>
      <c r="M1754" s="126"/>
      <c r="N1754" s="126"/>
      <c r="O1754" s="126"/>
      <c r="P1754" s="135"/>
      <c r="Q1754" s="135"/>
    </row>
    <row r="1755" spans="11:17" ht="12.75">
      <c r="K1755" s="118"/>
      <c r="L1755" s="118"/>
      <c r="M1755" s="126"/>
      <c r="N1755" s="126"/>
      <c r="O1755" s="126"/>
      <c r="P1755" s="135"/>
      <c r="Q1755" s="135"/>
    </row>
    <row r="1756" spans="11:17" ht="12.75">
      <c r="K1756" s="118"/>
      <c r="L1756" s="118"/>
      <c r="M1756" s="126"/>
      <c r="N1756" s="126"/>
      <c r="O1756" s="126"/>
      <c r="P1756" s="135"/>
      <c r="Q1756" s="135"/>
    </row>
    <row r="1757" spans="11:17" ht="12.75">
      <c r="K1757" s="118"/>
      <c r="L1757" s="118"/>
      <c r="M1757" s="126"/>
      <c r="N1757" s="126"/>
      <c r="O1757" s="126"/>
      <c r="P1757" s="135"/>
      <c r="Q1757" s="135"/>
    </row>
    <row r="1758" spans="11:17" ht="12.75">
      <c r="K1758" s="118"/>
      <c r="L1758" s="118"/>
      <c r="M1758" s="126"/>
      <c r="N1758" s="126"/>
      <c r="O1758" s="126"/>
      <c r="P1758" s="135"/>
      <c r="Q1758" s="135"/>
    </row>
    <row r="1759" spans="11:17" ht="12.75">
      <c r="K1759" s="118"/>
      <c r="L1759" s="118"/>
      <c r="M1759" s="126"/>
      <c r="N1759" s="126"/>
      <c r="O1759" s="126"/>
      <c r="P1759" s="135"/>
      <c r="Q1759" s="135"/>
    </row>
    <row r="1760" spans="11:17" ht="12.75">
      <c r="K1760" s="118"/>
      <c r="L1760" s="118"/>
      <c r="M1760" s="126"/>
      <c r="N1760" s="126"/>
      <c r="O1760" s="126"/>
      <c r="P1760" s="135"/>
      <c r="Q1760" s="135"/>
    </row>
    <row r="1761" spans="11:17" ht="12.75">
      <c r="K1761" s="118"/>
      <c r="L1761" s="118"/>
      <c r="M1761" s="126"/>
      <c r="N1761" s="126"/>
      <c r="O1761" s="126"/>
      <c r="P1761" s="135"/>
      <c r="Q1761" s="135"/>
    </row>
    <row r="1762" spans="11:17" ht="12.75">
      <c r="K1762" s="118"/>
      <c r="L1762" s="118"/>
      <c r="M1762" s="126"/>
      <c r="N1762" s="126"/>
      <c r="O1762" s="126"/>
      <c r="P1762" s="135"/>
      <c r="Q1762" s="135"/>
    </row>
    <row r="1763" spans="11:17" ht="12.75">
      <c r="K1763" s="118"/>
      <c r="L1763" s="118"/>
      <c r="M1763" s="126"/>
      <c r="N1763" s="126"/>
      <c r="O1763" s="126"/>
      <c r="P1763" s="135"/>
      <c r="Q1763" s="135"/>
    </row>
    <row r="1764" spans="11:17" ht="12.75">
      <c r="K1764" s="118"/>
      <c r="L1764" s="118"/>
      <c r="M1764" s="126"/>
      <c r="N1764" s="126"/>
      <c r="O1764" s="126"/>
      <c r="P1764" s="135"/>
      <c r="Q1764" s="135"/>
    </row>
    <row r="1765" spans="11:17" ht="12.75">
      <c r="K1765" s="118"/>
      <c r="L1765" s="118"/>
      <c r="M1765" s="126"/>
      <c r="N1765" s="126"/>
      <c r="O1765" s="126"/>
      <c r="P1765" s="135"/>
      <c r="Q1765" s="135"/>
    </row>
    <row r="1766" spans="11:17" ht="12.75">
      <c r="K1766" s="118"/>
      <c r="L1766" s="118"/>
      <c r="M1766" s="126"/>
      <c r="N1766" s="126"/>
      <c r="O1766" s="126"/>
      <c r="P1766" s="135"/>
      <c r="Q1766" s="135"/>
    </row>
    <row r="1767" spans="11:17" ht="12.75">
      <c r="K1767" s="118"/>
      <c r="L1767" s="118"/>
      <c r="M1767" s="126"/>
      <c r="N1767" s="126"/>
      <c r="O1767" s="126"/>
      <c r="P1767" s="135"/>
      <c r="Q1767" s="135"/>
    </row>
    <row r="1768" spans="11:17" ht="12.75">
      <c r="K1768" s="118"/>
      <c r="L1768" s="118"/>
      <c r="M1768" s="126"/>
      <c r="N1768" s="126"/>
      <c r="O1768" s="126"/>
      <c r="P1768" s="135"/>
      <c r="Q1768" s="135"/>
    </row>
    <row r="1769" spans="11:17" ht="12.75">
      <c r="K1769" s="118"/>
      <c r="L1769" s="118"/>
      <c r="M1769" s="126"/>
      <c r="N1769" s="126"/>
      <c r="O1769" s="126"/>
      <c r="P1769" s="135"/>
      <c r="Q1769" s="135"/>
    </row>
    <row r="1770" spans="11:17" ht="12.75">
      <c r="K1770" s="118"/>
      <c r="L1770" s="118"/>
      <c r="M1770" s="126"/>
      <c r="N1770" s="126"/>
      <c r="O1770" s="126"/>
      <c r="P1770" s="135"/>
      <c r="Q1770" s="135"/>
    </row>
    <row r="1771" spans="11:17" ht="12.75">
      <c r="K1771" s="118"/>
      <c r="L1771" s="118"/>
      <c r="M1771" s="126"/>
      <c r="N1771" s="126"/>
      <c r="O1771" s="126"/>
      <c r="P1771" s="135"/>
      <c r="Q1771" s="135"/>
    </row>
    <row r="1772" spans="11:17" ht="12.75">
      <c r="K1772" s="118"/>
      <c r="L1772" s="118"/>
      <c r="M1772" s="126"/>
      <c r="N1772" s="126"/>
      <c r="O1772" s="126"/>
      <c r="P1772" s="135"/>
      <c r="Q1772" s="135"/>
    </row>
    <row r="1773" spans="11:17" ht="12.75">
      <c r="K1773" s="118"/>
      <c r="L1773" s="118"/>
      <c r="M1773" s="126"/>
      <c r="N1773" s="126"/>
      <c r="O1773" s="126"/>
      <c r="P1773" s="135"/>
      <c r="Q1773" s="135"/>
    </row>
    <row r="1774" spans="11:17" ht="12.75">
      <c r="K1774" s="118"/>
      <c r="L1774" s="118"/>
      <c r="M1774" s="126"/>
      <c r="N1774" s="126"/>
      <c r="O1774" s="126"/>
      <c r="P1774" s="135"/>
      <c r="Q1774" s="135"/>
    </row>
    <row r="1775" spans="11:17" ht="12.75">
      <c r="K1775" s="118"/>
      <c r="L1775" s="118"/>
      <c r="M1775" s="126"/>
      <c r="N1775" s="126"/>
      <c r="O1775" s="126"/>
      <c r="P1775" s="135"/>
      <c r="Q1775" s="135"/>
    </row>
    <row r="1776" spans="11:17" ht="12.75">
      <c r="K1776" s="118"/>
      <c r="L1776" s="118"/>
      <c r="M1776" s="126"/>
      <c r="N1776" s="126"/>
      <c r="O1776" s="126"/>
      <c r="P1776" s="135"/>
      <c r="Q1776" s="135"/>
    </row>
    <row r="1777" spans="11:17" ht="12.75">
      <c r="K1777" s="118"/>
      <c r="L1777" s="118"/>
      <c r="M1777" s="126"/>
      <c r="N1777" s="126"/>
      <c r="O1777" s="126"/>
      <c r="P1777" s="135"/>
      <c r="Q1777" s="135"/>
    </row>
    <row r="1778" spans="11:17" ht="12.75">
      <c r="K1778" s="118"/>
      <c r="L1778" s="118"/>
      <c r="M1778" s="126"/>
      <c r="N1778" s="126"/>
      <c r="O1778" s="126"/>
      <c r="P1778" s="135"/>
      <c r="Q1778" s="135"/>
    </row>
    <row r="1779" spans="11:17" ht="12.75">
      <c r="K1779" s="118"/>
      <c r="L1779" s="118"/>
      <c r="M1779" s="126"/>
      <c r="N1779" s="126"/>
      <c r="O1779" s="126"/>
      <c r="P1779" s="135"/>
      <c r="Q1779" s="135"/>
    </row>
    <row r="1780" spans="11:17" ht="12.75">
      <c r="K1780" s="118"/>
      <c r="L1780" s="118"/>
      <c r="M1780" s="126"/>
      <c r="N1780" s="126"/>
      <c r="O1780" s="126"/>
      <c r="P1780" s="135"/>
      <c r="Q1780" s="135"/>
    </row>
    <row r="1781" spans="11:17" ht="12.75">
      <c r="K1781" s="118"/>
      <c r="L1781" s="118"/>
      <c r="M1781" s="126"/>
      <c r="N1781" s="126"/>
      <c r="O1781" s="126"/>
      <c r="P1781" s="135"/>
      <c r="Q1781" s="135"/>
    </row>
    <row r="1782" spans="11:17" ht="12.75">
      <c r="K1782" s="118"/>
      <c r="L1782" s="118"/>
      <c r="M1782" s="126"/>
      <c r="N1782" s="126"/>
      <c r="O1782" s="126"/>
      <c r="P1782" s="135"/>
      <c r="Q1782" s="135"/>
    </row>
    <row r="1783" spans="11:17" ht="12.75">
      <c r="K1783" s="118"/>
      <c r="L1783" s="118"/>
      <c r="M1783" s="126"/>
      <c r="N1783" s="126"/>
      <c r="O1783" s="126"/>
      <c r="P1783" s="135"/>
      <c r="Q1783" s="135"/>
    </row>
    <row r="1784" spans="11:17" ht="12.75">
      <c r="K1784" s="118"/>
      <c r="L1784" s="118"/>
      <c r="M1784" s="126"/>
      <c r="N1784" s="126"/>
      <c r="O1784" s="126"/>
      <c r="P1784" s="135"/>
      <c r="Q1784" s="135"/>
    </row>
    <row r="1785" spans="11:17" ht="12.75">
      <c r="K1785" s="118"/>
      <c r="L1785" s="118"/>
      <c r="M1785" s="126"/>
      <c r="N1785" s="126"/>
      <c r="O1785" s="126"/>
      <c r="P1785" s="135"/>
      <c r="Q1785" s="135"/>
    </row>
    <row r="1786" spans="11:17" ht="12.75">
      <c r="K1786" s="118"/>
      <c r="L1786" s="118"/>
      <c r="M1786" s="126"/>
      <c r="N1786" s="126"/>
      <c r="O1786" s="126"/>
      <c r="P1786" s="135"/>
      <c r="Q1786" s="135"/>
    </row>
    <row r="1787" spans="11:17" ht="12.75">
      <c r="K1787" s="118"/>
      <c r="L1787" s="118"/>
      <c r="M1787" s="126"/>
      <c r="N1787" s="126"/>
      <c r="O1787" s="126"/>
      <c r="P1787" s="135"/>
      <c r="Q1787" s="135"/>
    </row>
    <row r="1788" spans="11:17" ht="12.75">
      <c r="K1788" s="118"/>
      <c r="L1788" s="118"/>
      <c r="M1788" s="126"/>
      <c r="N1788" s="126"/>
      <c r="O1788" s="126"/>
      <c r="P1788" s="135"/>
      <c r="Q1788" s="135"/>
    </row>
    <row r="1789" spans="11:17" ht="12.75">
      <c r="K1789" s="118"/>
      <c r="L1789" s="118"/>
      <c r="M1789" s="126"/>
      <c r="N1789" s="126"/>
      <c r="O1789" s="126"/>
      <c r="P1789" s="135"/>
      <c r="Q1789" s="135"/>
    </row>
    <row r="1790" spans="11:17" ht="12.75">
      <c r="K1790" s="118"/>
      <c r="L1790" s="118"/>
      <c r="M1790" s="126"/>
      <c r="N1790" s="126"/>
      <c r="O1790" s="126"/>
      <c r="P1790" s="135"/>
      <c r="Q1790" s="135"/>
    </row>
    <row r="1791" spans="11:17" ht="12.75">
      <c r="K1791" s="118"/>
      <c r="L1791" s="118"/>
      <c r="M1791" s="126"/>
      <c r="N1791" s="126"/>
      <c r="O1791" s="126"/>
      <c r="P1791" s="135"/>
      <c r="Q1791" s="135"/>
    </row>
    <row r="1792" spans="11:17" ht="12.75">
      <c r="K1792" s="118"/>
      <c r="L1792" s="118"/>
      <c r="M1792" s="126"/>
      <c r="N1792" s="126"/>
      <c r="O1792" s="126"/>
      <c r="P1792" s="135"/>
      <c r="Q1792" s="135"/>
    </row>
    <row r="1793" spans="11:17" ht="12.75">
      <c r="K1793" s="118"/>
      <c r="L1793" s="118"/>
      <c r="M1793" s="126"/>
      <c r="N1793" s="126"/>
      <c r="O1793" s="126"/>
      <c r="P1793" s="135"/>
      <c r="Q1793" s="135"/>
    </row>
    <row r="1794" spans="11:17" ht="12.75">
      <c r="K1794" s="118"/>
      <c r="L1794" s="118"/>
      <c r="M1794" s="126"/>
      <c r="N1794" s="126"/>
      <c r="O1794" s="126"/>
      <c r="P1794" s="135"/>
      <c r="Q1794" s="135"/>
    </row>
    <row r="1795" spans="11:17" ht="12.75">
      <c r="K1795" s="118"/>
      <c r="L1795" s="118"/>
      <c r="M1795" s="126"/>
      <c r="N1795" s="126"/>
      <c r="O1795" s="126"/>
      <c r="P1795" s="135"/>
      <c r="Q1795" s="135"/>
    </row>
    <row r="1796" spans="11:17" ht="12.75">
      <c r="K1796" s="118"/>
      <c r="L1796" s="118"/>
      <c r="M1796" s="126"/>
      <c r="N1796" s="126"/>
      <c r="O1796" s="126"/>
      <c r="P1796" s="135"/>
      <c r="Q1796" s="135"/>
    </row>
    <row r="1797" spans="11:17" ht="12.75">
      <c r="K1797" s="118"/>
      <c r="L1797" s="118"/>
      <c r="M1797" s="126"/>
      <c r="N1797" s="126"/>
      <c r="O1797" s="126"/>
      <c r="P1797" s="135"/>
      <c r="Q1797" s="135"/>
    </row>
    <row r="1798" spans="11:17" ht="12.75">
      <c r="K1798" s="118"/>
      <c r="L1798" s="118"/>
      <c r="M1798" s="126"/>
      <c r="N1798" s="126"/>
      <c r="O1798" s="126"/>
      <c r="P1798" s="135"/>
      <c r="Q1798" s="135"/>
    </row>
    <row r="1799" spans="11:17" ht="12.75">
      <c r="K1799" s="118"/>
      <c r="L1799" s="118"/>
      <c r="M1799" s="126"/>
      <c r="N1799" s="126"/>
      <c r="O1799" s="126"/>
      <c r="P1799" s="135"/>
      <c r="Q1799" s="135"/>
    </row>
    <row r="1800" spans="11:17" ht="12.75">
      <c r="K1800" s="118"/>
      <c r="L1800" s="118"/>
      <c r="M1800" s="126"/>
      <c r="N1800" s="126"/>
      <c r="O1800" s="126"/>
      <c r="P1800" s="135"/>
      <c r="Q1800" s="135"/>
    </row>
    <row r="1801" spans="11:17" ht="12.75">
      <c r="K1801" s="118"/>
      <c r="L1801" s="118"/>
      <c r="M1801" s="126"/>
      <c r="N1801" s="126"/>
      <c r="O1801" s="126"/>
      <c r="P1801" s="135"/>
      <c r="Q1801" s="135"/>
    </row>
    <row r="1802" spans="11:17" ht="12.75">
      <c r="K1802" s="118"/>
      <c r="L1802" s="118"/>
      <c r="M1802" s="126"/>
      <c r="N1802" s="126"/>
      <c r="O1802" s="126"/>
      <c r="P1802" s="135"/>
      <c r="Q1802" s="135"/>
    </row>
    <row r="1803" spans="11:17" ht="12.75">
      <c r="K1803" s="118"/>
      <c r="L1803" s="118"/>
      <c r="M1803" s="126"/>
      <c r="N1803" s="126"/>
      <c r="O1803" s="126"/>
      <c r="P1803" s="135"/>
      <c r="Q1803" s="135"/>
    </row>
    <row r="1804" spans="11:17" ht="12.75">
      <c r="K1804" s="118"/>
      <c r="L1804" s="118"/>
      <c r="M1804" s="126"/>
      <c r="N1804" s="126"/>
      <c r="O1804" s="126"/>
      <c r="P1804" s="135"/>
      <c r="Q1804" s="135"/>
    </row>
    <row r="1805" spans="11:17" ht="12.75">
      <c r="K1805" s="118"/>
      <c r="L1805" s="118"/>
      <c r="M1805" s="126"/>
      <c r="N1805" s="126"/>
      <c r="O1805" s="126"/>
      <c r="P1805" s="135"/>
      <c r="Q1805" s="135"/>
    </row>
    <row r="1806" spans="11:17" ht="12.75">
      <c r="K1806" s="118"/>
      <c r="L1806" s="118"/>
      <c r="M1806" s="126"/>
      <c r="N1806" s="126"/>
      <c r="O1806" s="126"/>
      <c r="P1806" s="135"/>
      <c r="Q1806" s="135"/>
    </row>
    <row r="1807" spans="11:17" ht="12.75">
      <c r="K1807" s="118"/>
      <c r="L1807" s="118"/>
      <c r="M1807" s="126"/>
      <c r="N1807" s="126"/>
      <c r="O1807" s="126"/>
      <c r="P1807" s="135"/>
      <c r="Q1807" s="135"/>
    </row>
    <row r="1808" spans="11:17" ht="12.75">
      <c r="K1808" s="118"/>
      <c r="L1808" s="118"/>
      <c r="M1808" s="126"/>
      <c r="N1808" s="126"/>
      <c r="O1808" s="126"/>
      <c r="P1808" s="135"/>
      <c r="Q1808" s="135"/>
    </row>
    <row r="1809" spans="11:17" ht="12.75">
      <c r="K1809" s="118"/>
      <c r="L1809" s="118"/>
      <c r="M1809" s="126"/>
      <c r="N1809" s="126"/>
      <c r="O1809" s="126"/>
      <c r="P1809" s="135"/>
      <c r="Q1809" s="135"/>
    </row>
    <row r="1810" spans="11:17" ht="12.75">
      <c r="K1810" s="118"/>
      <c r="L1810" s="118"/>
      <c r="M1810" s="126"/>
      <c r="N1810" s="126"/>
      <c r="O1810" s="126"/>
      <c r="P1810" s="135"/>
      <c r="Q1810" s="135"/>
    </row>
    <row r="1811" spans="11:17" ht="12.75">
      <c r="K1811" s="118"/>
      <c r="L1811" s="118"/>
      <c r="M1811" s="126"/>
      <c r="N1811" s="126"/>
      <c r="O1811" s="126"/>
      <c r="P1811" s="135"/>
      <c r="Q1811" s="135"/>
    </row>
    <row r="1812" spans="11:17" ht="12.75">
      <c r="K1812" s="118"/>
      <c r="L1812" s="118"/>
      <c r="M1812" s="126"/>
      <c r="N1812" s="126"/>
      <c r="O1812" s="126"/>
      <c r="P1812" s="135"/>
      <c r="Q1812" s="135"/>
    </row>
    <row r="1813" spans="11:17" ht="12.75">
      <c r="K1813" s="118"/>
      <c r="L1813" s="118"/>
      <c r="M1813" s="126"/>
      <c r="N1813" s="126"/>
      <c r="O1813" s="126"/>
      <c r="P1813" s="135"/>
      <c r="Q1813" s="135"/>
    </row>
    <row r="1814" spans="11:17" ht="12.75">
      <c r="K1814" s="118"/>
      <c r="L1814" s="118"/>
      <c r="M1814" s="126"/>
      <c r="N1814" s="126"/>
      <c r="O1814" s="126"/>
      <c r="P1814" s="135"/>
      <c r="Q1814" s="135"/>
    </row>
    <row r="1815" spans="11:17" ht="12.75">
      <c r="K1815" s="118"/>
      <c r="L1815" s="118"/>
      <c r="M1815" s="126"/>
      <c r="N1815" s="126"/>
      <c r="O1815" s="126"/>
      <c r="P1815" s="135"/>
      <c r="Q1815" s="135"/>
    </row>
    <row r="1816" spans="11:17" ht="12.75">
      <c r="K1816" s="118"/>
      <c r="L1816" s="118"/>
      <c r="M1816" s="126"/>
      <c r="N1816" s="126"/>
      <c r="O1816" s="126"/>
      <c r="P1816" s="135"/>
      <c r="Q1816" s="135"/>
    </row>
    <row r="1817" spans="11:17" ht="12.75">
      <c r="K1817" s="118"/>
      <c r="L1817" s="118"/>
      <c r="M1817" s="126"/>
      <c r="N1817" s="126"/>
      <c r="O1817" s="126"/>
      <c r="P1817" s="135"/>
      <c r="Q1817" s="135"/>
    </row>
    <row r="1818" spans="11:17" ht="12.75">
      <c r="K1818" s="118"/>
      <c r="L1818" s="118"/>
      <c r="M1818" s="126"/>
      <c r="N1818" s="126"/>
      <c r="O1818" s="126"/>
      <c r="P1818" s="135"/>
      <c r="Q1818" s="135"/>
    </row>
    <row r="1819" spans="11:17" ht="12.75">
      <c r="K1819" s="118"/>
      <c r="L1819" s="118"/>
      <c r="M1819" s="126"/>
      <c r="N1819" s="126"/>
      <c r="O1819" s="126"/>
      <c r="P1819" s="135"/>
      <c r="Q1819" s="135"/>
    </row>
    <row r="1820" spans="11:17" ht="12.75">
      <c r="K1820" s="118"/>
      <c r="L1820" s="118"/>
      <c r="M1820" s="126"/>
      <c r="N1820" s="126"/>
      <c r="O1820" s="126"/>
      <c r="P1820" s="135"/>
      <c r="Q1820" s="135"/>
    </row>
    <row r="1821" spans="11:17" ht="12.75">
      <c r="K1821" s="118"/>
      <c r="L1821" s="118"/>
      <c r="M1821" s="126"/>
      <c r="N1821" s="126"/>
      <c r="O1821" s="126"/>
      <c r="P1821" s="135"/>
      <c r="Q1821" s="135"/>
    </row>
    <row r="1822" spans="11:17" ht="12.75">
      <c r="K1822" s="118"/>
      <c r="L1822" s="118"/>
      <c r="M1822" s="126"/>
      <c r="N1822" s="126"/>
      <c r="O1822" s="126"/>
      <c r="P1822" s="135"/>
      <c r="Q1822" s="135"/>
    </row>
    <row r="1823" spans="11:17" ht="12.75">
      <c r="K1823" s="118"/>
      <c r="L1823" s="118"/>
      <c r="M1823" s="126"/>
      <c r="N1823" s="126"/>
      <c r="O1823" s="126"/>
      <c r="P1823" s="135"/>
      <c r="Q1823" s="135"/>
    </row>
    <row r="1824" spans="11:17" ht="12.75">
      <c r="K1824" s="118"/>
      <c r="L1824" s="118"/>
      <c r="M1824" s="126"/>
      <c r="N1824" s="126"/>
      <c r="O1824" s="126"/>
      <c r="P1824" s="135"/>
      <c r="Q1824" s="135"/>
    </row>
    <row r="1825" spans="11:17" ht="12.75">
      <c r="K1825" s="118"/>
      <c r="L1825" s="118"/>
      <c r="M1825" s="126"/>
      <c r="N1825" s="126"/>
      <c r="O1825" s="126"/>
      <c r="P1825" s="135"/>
      <c r="Q1825" s="135"/>
    </row>
    <row r="1826" spans="11:17" ht="12.75">
      <c r="K1826" s="118"/>
      <c r="L1826" s="118"/>
      <c r="M1826" s="126"/>
      <c r="N1826" s="126"/>
      <c r="O1826" s="126"/>
      <c r="P1826" s="135"/>
      <c r="Q1826" s="135"/>
    </row>
    <row r="1827" spans="11:17" ht="12.75">
      <c r="K1827" s="118"/>
      <c r="L1827" s="118"/>
      <c r="M1827" s="126"/>
      <c r="N1827" s="126"/>
      <c r="O1827" s="126"/>
      <c r="P1827" s="135"/>
      <c r="Q1827" s="135"/>
    </row>
    <row r="1828" spans="11:17" ht="12.75">
      <c r="K1828" s="118"/>
      <c r="L1828" s="118"/>
      <c r="M1828" s="126"/>
      <c r="N1828" s="126"/>
      <c r="O1828" s="126"/>
      <c r="P1828" s="135"/>
      <c r="Q1828" s="135"/>
    </row>
    <row r="1829" spans="11:17" ht="12.75">
      <c r="K1829" s="118"/>
      <c r="L1829" s="118"/>
      <c r="M1829" s="126"/>
      <c r="N1829" s="126"/>
      <c r="O1829" s="126"/>
      <c r="P1829" s="135"/>
      <c r="Q1829" s="135"/>
    </row>
    <row r="1830" spans="11:17" ht="12.75">
      <c r="K1830" s="118"/>
      <c r="L1830" s="118"/>
      <c r="M1830" s="126"/>
      <c r="N1830" s="126"/>
      <c r="O1830" s="126"/>
      <c r="P1830" s="135"/>
      <c r="Q1830" s="135"/>
    </row>
    <row r="1831" spans="11:17" ht="12.75">
      <c r="K1831" s="118"/>
      <c r="L1831" s="118"/>
      <c r="M1831" s="126"/>
      <c r="N1831" s="126"/>
      <c r="O1831" s="126"/>
      <c r="P1831" s="135"/>
      <c r="Q1831" s="135"/>
    </row>
    <row r="1832" spans="11:17" ht="12.75">
      <c r="K1832" s="118"/>
      <c r="L1832" s="118"/>
      <c r="M1832" s="126"/>
      <c r="N1832" s="126"/>
      <c r="O1832" s="126"/>
      <c r="P1832" s="135"/>
      <c r="Q1832" s="135"/>
    </row>
    <row r="1833" spans="11:17" ht="12.75">
      <c r="K1833" s="118"/>
      <c r="L1833" s="118"/>
      <c r="M1833" s="126"/>
      <c r="N1833" s="126"/>
      <c r="O1833" s="126"/>
      <c r="P1833" s="135"/>
      <c r="Q1833" s="135"/>
    </row>
    <row r="1834" spans="11:17" ht="12.75">
      <c r="K1834" s="118"/>
      <c r="L1834" s="118"/>
      <c r="M1834" s="126"/>
      <c r="N1834" s="126"/>
      <c r="O1834" s="126"/>
      <c r="P1834" s="135"/>
      <c r="Q1834" s="135"/>
    </row>
    <row r="1835" spans="11:17" ht="12.75">
      <c r="K1835" s="118"/>
      <c r="L1835" s="118"/>
      <c r="M1835" s="126"/>
      <c r="N1835" s="126"/>
      <c r="O1835" s="126"/>
      <c r="P1835" s="135"/>
      <c r="Q1835" s="135"/>
    </row>
    <row r="1836" spans="11:17" ht="12.75">
      <c r="K1836" s="118"/>
      <c r="L1836" s="118"/>
      <c r="M1836" s="126"/>
      <c r="N1836" s="126"/>
      <c r="O1836" s="126"/>
      <c r="P1836" s="135"/>
      <c r="Q1836" s="135"/>
    </row>
    <row r="1837" spans="11:17" ht="12.75">
      <c r="K1837" s="118"/>
      <c r="L1837" s="118"/>
      <c r="M1837" s="126"/>
      <c r="N1837" s="126"/>
      <c r="O1837" s="126"/>
      <c r="P1837" s="135"/>
      <c r="Q1837" s="135"/>
    </row>
    <row r="1838" spans="11:17" ht="12.75">
      <c r="K1838" s="118"/>
      <c r="L1838" s="118"/>
      <c r="M1838" s="126"/>
      <c r="N1838" s="126"/>
      <c r="O1838" s="126"/>
      <c r="P1838" s="135"/>
      <c r="Q1838" s="135"/>
    </row>
    <row r="1839" spans="11:17" ht="12.75">
      <c r="K1839" s="118"/>
      <c r="L1839" s="118"/>
      <c r="M1839" s="126"/>
      <c r="N1839" s="126"/>
      <c r="O1839" s="126"/>
      <c r="P1839" s="135"/>
      <c r="Q1839" s="135"/>
    </row>
    <row r="1840" spans="11:17" ht="12.75">
      <c r="K1840" s="118"/>
      <c r="L1840" s="118"/>
      <c r="M1840" s="126"/>
      <c r="N1840" s="126"/>
      <c r="O1840" s="126"/>
      <c r="P1840" s="135"/>
      <c r="Q1840" s="135"/>
    </row>
    <row r="1841" spans="11:17" ht="12.75">
      <c r="K1841" s="118"/>
      <c r="L1841" s="118"/>
      <c r="M1841" s="126"/>
      <c r="N1841" s="126"/>
      <c r="O1841" s="126"/>
      <c r="P1841" s="135"/>
      <c r="Q1841" s="135"/>
    </row>
    <row r="1842" spans="11:17" ht="12.75">
      <c r="K1842" s="118"/>
      <c r="L1842" s="118"/>
      <c r="M1842" s="126"/>
      <c r="N1842" s="126"/>
      <c r="O1842" s="126"/>
      <c r="P1842" s="135"/>
      <c r="Q1842" s="135"/>
    </row>
    <row r="1843" spans="11:17" ht="12.75">
      <c r="K1843" s="118"/>
      <c r="L1843" s="118"/>
      <c r="M1843" s="126"/>
      <c r="N1843" s="126"/>
      <c r="O1843" s="126"/>
      <c r="P1843" s="135"/>
      <c r="Q1843" s="135"/>
    </row>
    <row r="1844" spans="11:17" ht="12.75">
      <c r="K1844" s="118"/>
      <c r="L1844" s="118"/>
      <c r="M1844" s="126"/>
      <c r="N1844" s="126"/>
      <c r="O1844" s="126"/>
      <c r="P1844" s="135"/>
      <c r="Q1844" s="135"/>
    </row>
    <row r="1845" spans="11:17" ht="12.75">
      <c r="K1845" s="118"/>
      <c r="L1845" s="118"/>
      <c r="M1845" s="126"/>
      <c r="N1845" s="126"/>
      <c r="O1845" s="126"/>
      <c r="P1845" s="135"/>
      <c r="Q1845" s="135"/>
    </row>
    <row r="1846" spans="11:17" ht="12.75">
      <c r="K1846" s="118"/>
      <c r="L1846" s="118"/>
      <c r="M1846" s="126"/>
      <c r="N1846" s="126"/>
      <c r="O1846" s="126"/>
      <c r="P1846" s="135"/>
      <c r="Q1846" s="135"/>
    </row>
    <row r="1847" spans="11:17" ht="12.75">
      <c r="K1847" s="118"/>
      <c r="L1847" s="118"/>
      <c r="M1847" s="126"/>
      <c r="N1847" s="126"/>
      <c r="O1847" s="126"/>
      <c r="P1847" s="135"/>
      <c r="Q1847" s="135"/>
    </row>
    <row r="1848" spans="11:17" ht="12.75">
      <c r="K1848" s="118"/>
      <c r="L1848" s="118"/>
      <c r="M1848" s="126"/>
      <c r="N1848" s="126"/>
      <c r="O1848" s="126"/>
      <c r="P1848" s="135"/>
      <c r="Q1848" s="135"/>
    </row>
    <row r="1849" spans="11:17" ht="12.75">
      <c r="K1849" s="118"/>
      <c r="L1849" s="118"/>
      <c r="M1849" s="126"/>
      <c r="N1849" s="126"/>
      <c r="O1849" s="126"/>
      <c r="P1849" s="135"/>
      <c r="Q1849" s="135"/>
    </row>
    <row r="1850" spans="11:17" ht="12.75">
      <c r="K1850" s="118"/>
      <c r="L1850" s="118"/>
      <c r="M1850" s="126"/>
      <c r="N1850" s="126"/>
      <c r="O1850" s="126"/>
      <c r="P1850" s="135"/>
      <c r="Q1850" s="135"/>
    </row>
    <row r="1851" spans="11:17" ht="12.75">
      <c r="K1851" s="118"/>
      <c r="L1851" s="118"/>
      <c r="M1851" s="126"/>
      <c r="N1851" s="126"/>
      <c r="O1851" s="126"/>
      <c r="P1851" s="135"/>
      <c r="Q1851" s="135"/>
    </row>
    <row r="1852" spans="11:17" ht="12.75">
      <c r="K1852" s="118"/>
      <c r="L1852" s="118"/>
      <c r="M1852" s="126"/>
      <c r="N1852" s="126"/>
      <c r="O1852" s="126"/>
      <c r="P1852" s="135"/>
      <c r="Q1852" s="135"/>
    </row>
    <row r="1853" spans="11:17" ht="12.75">
      <c r="K1853" s="118"/>
      <c r="L1853" s="118"/>
      <c r="M1853" s="126"/>
      <c r="N1853" s="126"/>
      <c r="O1853" s="126"/>
      <c r="P1853" s="135"/>
      <c r="Q1853" s="135"/>
    </row>
    <row r="1854" spans="11:17" ht="12.75">
      <c r="K1854" s="118"/>
      <c r="L1854" s="118"/>
      <c r="M1854" s="126"/>
      <c r="N1854" s="126"/>
      <c r="O1854" s="126"/>
      <c r="P1854" s="135"/>
      <c r="Q1854" s="135"/>
    </row>
    <row r="1855" spans="11:17" ht="12.75">
      <c r="K1855" s="118"/>
      <c r="L1855" s="118"/>
      <c r="M1855" s="126"/>
      <c r="N1855" s="126"/>
      <c r="O1855" s="126"/>
      <c r="P1855" s="135"/>
      <c r="Q1855" s="135"/>
    </row>
    <row r="1856" spans="11:17" ht="12.75">
      <c r="K1856" s="118"/>
      <c r="L1856" s="118"/>
      <c r="M1856" s="126"/>
      <c r="N1856" s="126"/>
      <c r="O1856" s="126"/>
      <c r="P1856" s="135"/>
      <c r="Q1856" s="135"/>
    </row>
    <row r="1857" spans="11:17" ht="12.75">
      <c r="K1857" s="118"/>
      <c r="L1857" s="118"/>
      <c r="M1857" s="126"/>
      <c r="N1857" s="126"/>
      <c r="O1857" s="126"/>
      <c r="P1857" s="135"/>
      <c r="Q1857" s="135"/>
    </row>
    <row r="1858" spans="11:17" ht="12.75">
      <c r="K1858" s="118"/>
      <c r="L1858" s="118"/>
      <c r="M1858" s="126"/>
      <c r="N1858" s="126"/>
      <c r="O1858" s="126"/>
      <c r="P1858" s="135"/>
      <c r="Q1858" s="135"/>
    </row>
    <row r="1859" spans="11:17" ht="12.75">
      <c r="K1859" s="118"/>
      <c r="L1859" s="118"/>
      <c r="M1859" s="126"/>
      <c r="N1859" s="126"/>
      <c r="O1859" s="126"/>
      <c r="P1859" s="135"/>
      <c r="Q1859" s="135"/>
    </row>
    <row r="1860" spans="11:17" ht="12.75">
      <c r="K1860" s="118"/>
      <c r="L1860" s="118"/>
      <c r="M1860" s="126"/>
      <c r="N1860" s="126"/>
      <c r="O1860" s="126"/>
      <c r="P1860" s="135"/>
      <c r="Q1860" s="135"/>
    </row>
    <row r="1861" spans="11:17" ht="12.75">
      <c r="K1861" s="118"/>
      <c r="L1861" s="118"/>
      <c r="M1861" s="126"/>
      <c r="N1861" s="126"/>
      <c r="O1861" s="126"/>
      <c r="P1861" s="135"/>
      <c r="Q1861" s="135"/>
    </row>
    <row r="1862" spans="11:17" ht="12.75">
      <c r="K1862" s="118"/>
      <c r="L1862" s="118"/>
      <c r="M1862" s="126"/>
      <c r="N1862" s="126"/>
      <c r="O1862" s="126"/>
      <c r="P1862" s="135"/>
      <c r="Q1862" s="135"/>
    </row>
    <row r="1863" spans="11:17" ht="12.75">
      <c r="K1863" s="118"/>
      <c r="L1863" s="118"/>
      <c r="M1863" s="126"/>
      <c r="N1863" s="126"/>
      <c r="O1863" s="126"/>
      <c r="P1863" s="135"/>
      <c r="Q1863" s="135"/>
    </row>
    <row r="1864" spans="11:17" ht="12.75">
      <c r="K1864" s="118"/>
      <c r="L1864" s="118"/>
      <c r="M1864" s="126"/>
      <c r="N1864" s="126"/>
      <c r="O1864" s="126"/>
      <c r="P1864" s="135"/>
      <c r="Q1864" s="135"/>
    </row>
    <row r="1865" spans="11:17" ht="12.75">
      <c r="K1865" s="118"/>
      <c r="L1865" s="118"/>
      <c r="M1865" s="126"/>
      <c r="N1865" s="126"/>
      <c r="O1865" s="126"/>
      <c r="P1865" s="135"/>
      <c r="Q1865" s="135"/>
    </row>
    <row r="1866" spans="11:17" ht="12.75">
      <c r="K1866" s="118"/>
      <c r="L1866" s="118"/>
      <c r="M1866" s="126"/>
      <c r="N1866" s="126"/>
      <c r="O1866" s="126"/>
      <c r="P1866" s="135"/>
      <c r="Q1866" s="135"/>
    </row>
    <row r="1867" spans="11:17" ht="12.75">
      <c r="K1867" s="118"/>
      <c r="L1867" s="118"/>
      <c r="M1867" s="126"/>
      <c r="N1867" s="126"/>
      <c r="O1867" s="126"/>
      <c r="P1867" s="135"/>
      <c r="Q1867" s="135"/>
    </row>
    <row r="1868" spans="11:17" ht="12.75">
      <c r="K1868" s="118"/>
      <c r="L1868" s="118"/>
      <c r="M1868" s="126"/>
      <c r="N1868" s="126"/>
      <c r="O1868" s="126"/>
      <c r="P1868" s="135"/>
      <c r="Q1868" s="135"/>
    </row>
    <row r="1869" spans="11:17" ht="12.75">
      <c r="K1869" s="118"/>
      <c r="L1869" s="118"/>
      <c r="M1869" s="126"/>
      <c r="N1869" s="126"/>
      <c r="O1869" s="126"/>
      <c r="P1869" s="135"/>
      <c r="Q1869" s="135"/>
    </row>
    <row r="1870" spans="11:17" ht="12.75">
      <c r="K1870" s="118"/>
      <c r="L1870" s="118"/>
      <c r="M1870" s="126"/>
      <c r="N1870" s="126"/>
      <c r="O1870" s="126"/>
      <c r="P1870" s="135"/>
      <c r="Q1870" s="135"/>
    </row>
    <row r="1871" spans="11:17" ht="12.75">
      <c r="K1871" s="118"/>
      <c r="L1871" s="118"/>
      <c r="M1871" s="126"/>
      <c r="N1871" s="126"/>
      <c r="O1871" s="126"/>
      <c r="P1871" s="135"/>
      <c r="Q1871" s="135"/>
    </row>
    <row r="1872" spans="11:17" ht="12.75">
      <c r="K1872" s="118"/>
      <c r="L1872" s="118"/>
      <c r="M1872" s="126"/>
      <c r="N1872" s="126"/>
      <c r="O1872" s="126"/>
      <c r="P1872" s="135"/>
      <c r="Q1872" s="135"/>
    </row>
    <row r="1873" spans="11:17" ht="12.75">
      <c r="K1873" s="118"/>
      <c r="L1873" s="118"/>
      <c r="M1873" s="126"/>
      <c r="N1873" s="126"/>
      <c r="O1873" s="126"/>
      <c r="P1873" s="135"/>
      <c r="Q1873" s="135"/>
    </row>
    <row r="1874" spans="11:17" ht="12.75">
      <c r="K1874" s="118"/>
      <c r="L1874" s="118"/>
      <c r="M1874" s="126"/>
      <c r="N1874" s="126"/>
      <c r="O1874" s="126"/>
      <c r="P1874" s="135"/>
      <c r="Q1874" s="135"/>
    </row>
    <row r="1875" spans="11:17" ht="12.75">
      <c r="K1875" s="118"/>
      <c r="L1875" s="118"/>
      <c r="M1875" s="126"/>
      <c r="N1875" s="126"/>
      <c r="O1875" s="126"/>
      <c r="P1875" s="135"/>
      <c r="Q1875" s="135"/>
    </row>
    <row r="1876" spans="11:17" ht="12.75">
      <c r="K1876" s="118"/>
      <c r="L1876" s="118"/>
      <c r="M1876" s="126"/>
      <c r="N1876" s="126"/>
      <c r="O1876" s="126"/>
      <c r="P1876" s="135"/>
      <c r="Q1876" s="135"/>
    </row>
    <row r="1877" spans="11:17" ht="12.75">
      <c r="K1877" s="118"/>
      <c r="L1877" s="118"/>
      <c r="M1877" s="126"/>
      <c r="N1877" s="126"/>
      <c r="O1877" s="126"/>
      <c r="P1877" s="135"/>
      <c r="Q1877" s="135"/>
    </row>
    <row r="1878" spans="11:17" ht="12.75">
      <c r="K1878" s="118"/>
      <c r="L1878" s="118"/>
      <c r="M1878" s="126"/>
      <c r="N1878" s="126"/>
      <c r="O1878" s="126"/>
      <c r="P1878" s="135"/>
      <c r="Q1878" s="135"/>
    </row>
    <row r="1879" spans="11:17" ht="12.75">
      <c r="K1879" s="118"/>
      <c r="L1879" s="118"/>
      <c r="M1879" s="126"/>
      <c r="N1879" s="126"/>
      <c r="O1879" s="126"/>
      <c r="P1879" s="135"/>
      <c r="Q1879" s="135"/>
    </row>
    <row r="1880" spans="11:17" ht="12.75">
      <c r="K1880" s="118"/>
      <c r="L1880" s="118"/>
      <c r="M1880" s="126"/>
      <c r="N1880" s="126"/>
      <c r="O1880" s="126"/>
      <c r="P1880" s="135"/>
      <c r="Q1880" s="135"/>
    </row>
    <row r="1881" spans="11:17" ht="12.75">
      <c r="K1881" s="118"/>
      <c r="L1881" s="118"/>
      <c r="M1881" s="126"/>
      <c r="N1881" s="126"/>
      <c r="O1881" s="126"/>
      <c r="P1881" s="135"/>
      <c r="Q1881" s="135"/>
    </row>
    <row r="1882" spans="11:17" ht="12.75">
      <c r="K1882" s="118"/>
      <c r="L1882" s="118"/>
      <c r="M1882" s="126"/>
      <c r="N1882" s="126"/>
      <c r="O1882" s="126"/>
      <c r="P1882" s="135"/>
      <c r="Q1882" s="135"/>
    </row>
    <row r="1883" spans="11:17" ht="12.75">
      <c r="K1883" s="118"/>
      <c r="L1883" s="118"/>
      <c r="M1883" s="126"/>
      <c r="N1883" s="126"/>
      <c r="O1883" s="126"/>
      <c r="P1883" s="135"/>
      <c r="Q1883" s="135"/>
    </row>
    <row r="1884" spans="11:17" ht="12.75">
      <c r="K1884" s="118"/>
      <c r="L1884" s="118"/>
      <c r="M1884" s="126"/>
      <c r="N1884" s="126"/>
      <c r="O1884" s="126"/>
      <c r="P1884" s="135"/>
      <c r="Q1884" s="135"/>
    </row>
    <row r="1885" spans="11:17" ht="12.75">
      <c r="K1885" s="118"/>
      <c r="L1885" s="118"/>
      <c r="M1885" s="126"/>
      <c r="N1885" s="126"/>
      <c r="O1885" s="126"/>
      <c r="P1885" s="135"/>
      <c r="Q1885" s="135"/>
    </row>
    <row r="1886" spans="11:17" ht="12.75">
      <c r="K1886" s="118"/>
      <c r="L1886" s="118"/>
      <c r="M1886" s="126"/>
      <c r="N1886" s="126"/>
      <c r="O1886" s="126"/>
      <c r="P1886" s="135"/>
      <c r="Q1886" s="135"/>
    </row>
    <row r="1887" spans="11:17" ht="12.75">
      <c r="K1887" s="118"/>
      <c r="L1887" s="118"/>
      <c r="M1887" s="126"/>
      <c r="N1887" s="126"/>
      <c r="O1887" s="126"/>
      <c r="P1887" s="135"/>
      <c r="Q1887" s="135"/>
    </row>
    <row r="1888" spans="11:17" ht="12.75">
      <c r="K1888" s="118"/>
      <c r="L1888" s="118"/>
      <c r="M1888" s="126"/>
      <c r="N1888" s="126"/>
      <c r="O1888" s="126"/>
      <c r="P1888" s="135"/>
      <c r="Q1888" s="135"/>
    </row>
    <row r="1889" spans="11:17" ht="12.75">
      <c r="K1889" s="118"/>
      <c r="L1889" s="118"/>
      <c r="M1889" s="126"/>
      <c r="N1889" s="126"/>
      <c r="O1889" s="126"/>
      <c r="P1889" s="135"/>
      <c r="Q1889" s="135"/>
    </row>
    <row r="1890" spans="11:17" ht="12.75">
      <c r="K1890" s="118"/>
      <c r="L1890" s="118"/>
      <c r="M1890" s="126"/>
      <c r="N1890" s="126"/>
      <c r="O1890" s="126"/>
      <c r="P1890" s="135"/>
      <c r="Q1890" s="135"/>
    </row>
    <row r="1891" spans="11:17" ht="12.75">
      <c r="K1891" s="118"/>
      <c r="L1891" s="118"/>
      <c r="M1891" s="126"/>
      <c r="N1891" s="126"/>
      <c r="O1891" s="126"/>
      <c r="P1891" s="135"/>
      <c r="Q1891" s="135"/>
    </row>
    <row r="1892" spans="11:17" ht="12.75">
      <c r="K1892" s="118"/>
      <c r="L1892" s="118"/>
      <c r="M1892" s="126"/>
      <c r="N1892" s="126"/>
      <c r="O1892" s="126"/>
      <c r="P1892" s="135"/>
      <c r="Q1892" s="135"/>
    </row>
    <row r="1893" spans="11:17" ht="12.75">
      <c r="K1893" s="118"/>
      <c r="L1893" s="118"/>
      <c r="M1893" s="126"/>
      <c r="N1893" s="126"/>
      <c r="O1893" s="126"/>
      <c r="P1893" s="135"/>
      <c r="Q1893" s="135"/>
    </row>
    <row r="1894" spans="11:17" ht="12.75">
      <c r="K1894" s="118"/>
      <c r="L1894" s="118"/>
      <c r="M1894" s="126"/>
      <c r="N1894" s="126"/>
      <c r="O1894" s="126"/>
      <c r="P1894" s="135"/>
      <c r="Q1894" s="135"/>
    </row>
    <row r="1895" spans="11:17" ht="12.75">
      <c r="K1895" s="118"/>
      <c r="L1895" s="118"/>
      <c r="M1895" s="126"/>
      <c r="N1895" s="126"/>
      <c r="O1895" s="126"/>
      <c r="P1895" s="135"/>
      <c r="Q1895" s="135"/>
    </row>
    <row r="1896" spans="11:17" ht="12.75">
      <c r="K1896" s="118"/>
      <c r="L1896" s="118"/>
      <c r="M1896" s="126"/>
      <c r="N1896" s="126"/>
      <c r="O1896" s="126"/>
      <c r="P1896" s="135"/>
      <c r="Q1896" s="135"/>
    </row>
    <row r="1897" spans="11:17" ht="12.75">
      <c r="K1897" s="118"/>
      <c r="L1897" s="118"/>
      <c r="M1897" s="126"/>
      <c r="N1897" s="126"/>
      <c r="O1897" s="126"/>
      <c r="P1897" s="135"/>
      <c r="Q1897" s="135"/>
    </row>
    <row r="1898" spans="11:17" ht="12.75">
      <c r="K1898" s="118"/>
      <c r="L1898" s="118"/>
      <c r="M1898" s="126"/>
      <c r="N1898" s="126"/>
      <c r="O1898" s="126"/>
      <c r="P1898" s="135"/>
      <c r="Q1898" s="135"/>
    </row>
    <row r="1899" spans="11:17" ht="12.75">
      <c r="K1899" s="118"/>
      <c r="L1899" s="118"/>
      <c r="M1899" s="126"/>
      <c r="N1899" s="126"/>
      <c r="O1899" s="126"/>
      <c r="P1899" s="135"/>
      <c r="Q1899" s="135"/>
    </row>
    <row r="1900" spans="11:17" ht="12.75">
      <c r="K1900" s="118"/>
      <c r="L1900" s="118"/>
      <c r="M1900" s="126"/>
      <c r="N1900" s="126"/>
      <c r="O1900" s="126"/>
      <c r="P1900" s="135"/>
      <c r="Q1900" s="135"/>
    </row>
    <row r="1901" spans="11:17" ht="12.75">
      <c r="K1901" s="118"/>
      <c r="L1901" s="118"/>
      <c r="M1901" s="126"/>
      <c r="N1901" s="126"/>
      <c r="O1901" s="126"/>
      <c r="P1901" s="135"/>
      <c r="Q1901" s="135"/>
    </row>
    <row r="1902" spans="11:17" ht="12.75">
      <c r="K1902" s="118"/>
      <c r="L1902" s="118"/>
      <c r="M1902" s="126"/>
      <c r="N1902" s="126"/>
      <c r="O1902" s="126"/>
      <c r="P1902" s="135"/>
      <c r="Q1902" s="135"/>
    </row>
    <row r="1903" spans="11:17" ht="12.75">
      <c r="K1903" s="118"/>
      <c r="L1903" s="118"/>
      <c r="M1903" s="126"/>
      <c r="N1903" s="126"/>
      <c r="O1903" s="126"/>
      <c r="P1903" s="135"/>
      <c r="Q1903" s="135"/>
    </row>
    <row r="1904" spans="11:17" ht="12.75">
      <c r="K1904" s="118"/>
      <c r="L1904" s="118"/>
      <c r="M1904" s="126"/>
      <c r="N1904" s="126"/>
      <c r="O1904" s="126"/>
      <c r="P1904" s="135"/>
      <c r="Q1904" s="135"/>
    </row>
    <row r="1905" spans="11:17" ht="12.75">
      <c r="K1905" s="118"/>
      <c r="L1905" s="118"/>
      <c r="M1905" s="126"/>
      <c r="N1905" s="126"/>
      <c r="O1905" s="126"/>
      <c r="P1905" s="135"/>
      <c r="Q1905" s="135"/>
    </row>
    <row r="1906" spans="11:17" ht="12.75">
      <c r="K1906" s="118"/>
      <c r="L1906" s="118"/>
      <c r="M1906" s="126"/>
      <c r="N1906" s="126"/>
      <c r="O1906" s="126"/>
      <c r="P1906" s="135"/>
      <c r="Q1906" s="135"/>
    </row>
    <row r="1907" spans="11:17" ht="12.75">
      <c r="K1907" s="118"/>
      <c r="L1907" s="118"/>
      <c r="M1907" s="126"/>
      <c r="N1907" s="126"/>
      <c r="O1907" s="126"/>
      <c r="P1907" s="135"/>
      <c r="Q1907" s="135"/>
    </row>
    <row r="1908" spans="11:17" ht="12.75">
      <c r="K1908" s="118"/>
      <c r="L1908" s="118"/>
      <c r="M1908" s="126"/>
      <c r="N1908" s="126"/>
      <c r="O1908" s="126"/>
      <c r="P1908" s="135"/>
      <c r="Q1908" s="135"/>
    </row>
    <row r="1909" spans="11:17" ht="12.75">
      <c r="K1909" s="118"/>
      <c r="L1909" s="118"/>
      <c r="M1909" s="126"/>
      <c r="N1909" s="126"/>
      <c r="O1909" s="126"/>
      <c r="P1909" s="135"/>
      <c r="Q1909" s="135"/>
    </row>
    <row r="1910" spans="11:17" ht="12.75">
      <c r="K1910" s="118"/>
      <c r="L1910" s="118"/>
      <c r="M1910" s="126"/>
      <c r="N1910" s="126"/>
      <c r="O1910" s="126"/>
      <c r="P1910" s="135"/>
      <c r="Q1910" s="135"/>
    </row>
    <row r="1911" spans="11:17" ht="12.75">
      <c r="K1911" s="118"/>
      <c r="L1911" s="118"/>
      <c r="M1911" s="126"/>
      <c r="N1911" s="126"/>
      <c r="O1911" s="126"/>
      <c r="P1911" s="135"/>
      <c r="Q1911" s="135"/>
    </row>
    <row r="1912" spans="11:17" ht="12.75">
      <c r="K1912" s="118"/>
      <c r="L1912" s="118"/>
      <c r="M1912" s="126"/>
      <c r="N1912" s="126"/>
      <c r="O1912" s="126"/>
      <c r="P1912" s="135"/>
      <c r="Q1912" s="135"/>
    </row>
    <row r="1913" spans="11:17" ht="12.75">
      <c r="K1913" s="118"/>
      <c r="L1913" s="118"/>
      <c r="M1913" s="126"/>
      <c r="N1913" s="126"/>
      <c r="O1913" s="126"/>
      <c r="P1913" s="135"/>
      <c r="Q1913" s="135"/>
    </row>
    <row r="1914" spans="11:17" ht="12.75">
      <c r="K1914" s="118"/>
      <c r="L1914" s="118"/>
      <c r="M1914" s="126"/>
      <c r="N1914" s="126"/>
      <c r="O1914" s="126"/>
      <c r="P1914" s="135"/>
      <c r="Q1914" s="135"/>
    </row>
    <row r="1915" spans="11:17" ht="12.75">
      <c r="K1915" s="118"/>
      <c r="L1915" s="118"/>
      <c r="M1915" s="126"/>
      <c r="N1915" s="126"/>
      <c r="O1915" s="126"/>
      <c r="P1915" s="135"/>
      <c r="Q1915" s="135"/>
    </row>
    <row r="1916" spans="11:17" ht="12.75">
      <c r="K1916" s="118"/>
      <c r="L1916" s="118"/>
      <c r="M1916" s="126"/>
      <c r="N1916" s="126"/>
      <c r="O1916" s="126"/>
      <c r="P1916" s="135"/>
      <c r="Q1916" s="135"/>
    </row>
    <row r="1917" spans="11:17" ht="12.75">
      <c r="K1917" s="118"/>
      <c r="L1917" s="118"/>
      <c r="M1917" s="126"/>
      <c r="N1917" s="126"/>
      <c r="O1917" s="126"/>
      <c r="P1917" s="135"/>
      <c r="Q1917" s="135"/>
    </row>
    <row r="1918" spans="11:17" ht="12.75">
      <c r="K1918" s="118"/>
      <c r="L1918" s="118"/>
      <c r="M1918" s="126"/>
      <c r="N1918" s="126"/>
      <c r="O1918" s="126"/>
      <c r="P1918" s="135"/>
      <c r="Q1918" s="135"/>
    </row>
    <row r="1919" spans="11:17" ht="12.75">
      <c r="K1919" s="118"/>
      <c r="L1919" s="118"/>
      <c r="M1919" s="126"/>
      <c r="N1919" s="126"/>
      <c r="O1919" s="126"/>
      <c r="P1919" s="135"/>
      <c r="Q1919" s="135"/>
    </row>
    <row r="1920" spans="11:17" ht="12.75">
      <c r="K1920" s="118"/>
      <c r="L1920" s="118"/>
      <c r="M1920" s="126"/>
      <c r="N1920" s="126"/>
      <c r="O1920" s="126"/>
      <c r="P1920" s="135"/>
      <c r="Q1920" s="135"/>
    </row>
    <row r="1921" spans="11:17" ht="12.75">
      <c r="K1921" s="118"/>
      <c r="L1921" s="118"/>
      <c r="M1921" s="126"/>
      <c r="N1921" s="126"/>
      <c r="O1921" s="126"/>
      <c r="P1921" s="135"/>
      <c r="Q1921" s="135"/>
    </row>
    <row r="1922" spans="11:17" ht="12.75">
      <c r="K1922" s="118"/>
      <c r="L1922" s="118"/>
      <c r="M1922" s="126"/>
      <c r="N1922" s="126"/>
      <c r="O1922" s="126"/>
      <c r="P1922" s="135"/>
      <c r="Q1922" s="135"/>
    </row>
    <row r="1923" spans="11:17" ht="12.75">
      <c r="K1923" s="118"/>
      <c r="L1923" s="118"/>
      <c r="M1923" s="126"/>
      <c r="N1923" s="126"/>
      <c r="O1923" s="126"/>
      <c r="P1923" s="135"/>
      <c r="Q1923" s="135"/>
    </row>
    <row r="1924" spans="11:17" ht="12.75">
      <c r="K1924" s="118"/>
      <c r="L1924" s="118"/>
      <c r="M1924" s="126"/>
      <c r="N1924" s="126"/>
      <c r="O1924" s="126"/>
      <c r="P1924" s="135"/>
      <c r="Q1924" s="135"/>
    </row>
    <row r="1925" spans="11:17" ht="12.75">
      <c r="K1925" s="118"/>
      <c r="L1925" s="118"/>
      <c r="M1925" s="126"/>
      <c r="N1925" s="126"/>
      <c r="O1925" s="126"/>
      <c r="P1925" s="135"/>
      <c r="Q1925" s="135"/>
    </row>
    <row r="1926" spans="11:17" ht="12.75">
      <c r="K1926" s="118"/>
      <c r="L1926" s="118"/>
      <c r="M1926" s="126"/>
      <c r="N1926" s="126"/>
      <c r="O1926" s="126"/>
      <c r="P1926" s="135"/>
      <c r="Q1926" s="135"/>
    </row>
    <row r="1927" spans="11:17" ht="12.75">
      <c r="K1927" s="118"/>
      <c r="L1927" s="118"/>
      <c r="M1927" s="126"/>
      <c r="N1927" s="126"/>
      <c r="O1927" s="126"/>
      <c r="P1927" s="135"/>
      <c r="Q1927" s="135"/>
    </row>
    <row r="1928" spans="11:17" ht="12.75">
      <c r="K1928" s="118"/>
      <c r="L1928" s="118"/>
      <c r="M1928" s="126"/>
      <c r="N1928" s="126"/>
      <c r="O1928" s="126"/>
      <c r="P1928" s="135"/>
      <c r="Q1928" s="135"/>
    </row>
    <row r="1929" spans="11:17" ht="12.75">
      <c r="K1929" s="118"/>
      <c r="L1929" s="118"/>
      <c r="M1929" s="126"/>
      <c r="N1929" s="126"/>
      <c r="O1929" s="126"/>
      <c r="P1929" s="135"/>
      <c r="Q1929" s="135"/>
    </row>
    <row r="1930" spans="11:17" ht="12.75">
      <c r="K1930" s="118"/>
      <c r="L1930" s="118"/>
      <c r="M1930" s="126"/>
      <c r="N1930" s="126"/>
      <c r="O1930" s="126"/>
      <c r="P1930" s="135"/>
      <c r="Q1930" s="135"/>
    </row>
    <row r="1931" spans="11:17" ht="12.75">
      <c r="K1931" s="118"/>
      <c r="L1931" s="118"/>
      <c r="M1931" s="126"/>
      <c r="N1931" s="126"/>
      <c r="O1931" s="126"/>
      <c r="P1931" s="135"/>
      <c r="Q1931" s="135"/>
    </row>
    <row r="1932" spans="11:17" ht="12.75">
      <c r="K1932" s="118"/>
      <c r="L1932" s="118"/>
      <c r="M1932" s="126"/>
      <c r="N1932" s="126"/>
      <c r="O1932" s="126"/>
      <c r="P1932" s="135"/>
      <c r="Q1932" s="135"/>
    </row>
    <row r="1933" spans="11:17" ht="12.75">
      <c r="K1933" s="118"/>
      <c r="L1933" s="118"/>
      <c r="M1933" s="126"/>
      <c r="N1933" s="126"/>
      <c r="O1933" s="126"/>
      <c r="P1933" s="135"/>
      <c r="Q1933" s="135"/>
    </row>
    <row r="1934" spans="11:17" ht="12.75">
      <c r="K1934" s="118"/>
      <c r="L1934" s="118"/>
      <c r="M1934" s="126"/>
      <c r="N1934" s="126"/>
      <c r="O1934" s="126"/>
      <c r="P1934" s="135"/>
      <c r="Q1934" s="135"/>
    </row>
    <row r="1935" spans="11:17" ht="12.75">
      <c r="K1935" s="118"/>
      <c r="L1935" s="118"/>
      <c r="M1935" s="126"/>
      <c r="N1935" s="126"/>
      <c r="O1935" s="126"/>
      <c r="P1935" s="135"/>
      <c r="Q1935" s="135"/>
    </row>
    <row r="1936" spans="11:17" ht="12.75">
      <c r="K1936" s="118"/>
      <c r="L1936" s="118"/>
      <c r="M1936" s="126"/>
      <c r="N1936" s="126"/>
      <c r="O1936" s="126"/>
      <c r="P1936" s="135"/>
      <c r="Q1936" s="135"/>
    </row>
    <row r="1937" spans="11:17" ht="12.75">
      <c r="K1937" s="118"/>
      <c r="L1937" s="118"/>
      <c r="M1937" s="126"/>
      <c r="N1937" s="126"/>
      <c r="O1937" s="126"/>
      <c r="P1937" s="135"/>
      <c r="Q1937" s="135"/>
    </row>
    <row r="1938" spans="11:17" ht="12.75">
      <c r="K1938" s="118"/>
      <c r="L1938" s="118"/>
      <c r="M1938" s="126"/>
      <c r="N1938" s="126"/>
      <c r="O1938" s="126"/>
      <c r="P1938" s="135"/>
      <c r="Q1938" s="135"/>
    </row>
    <row r="1939" spans="11:17" ht="12.75">
      <c r="K1939" s="118"/>
      <c r="L1939" s="118"/>
      <c r="M1939" s="126"/>
      <c r="N1939" s="126"/>
      <c r="O1939" s="126"/>
      <c r="P1939" s="135"/>
      <c r="Q1939" s="135"/>
    </row>
    <row r="1940" spans="11:17" ht="12.75">
      <c r="K1940" s="118"/>
      <c r="L1940" s="118"/>
      <c r="M1940" s="126"/>
      <c r="N1940" s="126"/>
      <c r="O1940" s="126"/>
      <c r="P1940" s="135"/>
      <c r="Q1940" s="135"/>
    </row>
    <row r="1941" spans="11:17" ht="12.75">
      <c r="K1941" s="118"/>
      <c r="L1941" s="118"/>
      <c r="M1941" s="126"/>
      <c r="N1941" s="126"/>
      <c r="O1941" s="126"/>
      <c r="P1941" s="135"/>
      <c r="Q1941" s="135"/>
    </row>
    <row r="1942" spans="11:17" ht="12.75">
      <c r="K1942" s="118"/>
      <c r="L1942" s="118"/>
      <c r="M1942" s="126"/>
      <c r="N1942" s="126"/>
      <c r="O1942" s="126"/>
      <c r="P1942" s="135"/>
      <c r="Q1942" s="135"/>
    </row>
    <row r="1943" spans="11:17" ht="12.75">
      <c r="K1943" s="118"/>
      <c r="L1943" s="118"/>
      <c r="M1943" s="126"/>
      <c r="N1943" s="126"/>
      <c r="O1943" s="126"/>
      <c r="P1943" s="135"/>
      <c r="Q1943" s="135"/>
    </row>
    <row r="1944" spans="11:17" ht="12.75">
      <c r="K1944" s="118"/>
      <c r="L1944" s="118"/>
      <c r="M1944" s="126"/>
      <c r="N1944" s="126"/>
      <c r="O1944" s="126"/>
      <c r="P1944" s="135"/>
      <c r="Q1944" s="135"/>
    </row>
    <row r="1945" spans="11:17" ht="12.75">
      <c r="K1945" s="118"/>
      <c r="L1945" s="118"/>
      <c r="M1945" s="126"/>
      <c r="N1945" s="126"/>
      <c r="O1945" s="126"/>
      <c r="P1945" s="135"/>
      <c r="Q1945" s="135"/>
    </row>
    <row r="1946" spans="11:17" ht="12.75">
      <c r="K1946" s="118"/>
      <c r="L1946" s="118"/>
      <c r="M1946" s="126"/>
      <c r="N1946" s="126"/>
      <c r="O1946" s="126"/>
      <c r="P1946" s="135"/>
      <c r="Q1946" s="135"/>
    </row>
    <row r="1947" spans="11:17" ht="12.75">
      <c r="K1947" s="118"/>
      <c r="L1947" s="118"/>
      <c r="M1947" s="126"/>
      <c r="N1947" s="126"/>
      <c r="O1947" s="126"/>
      <c r="P1947" s="135"/>
      <c r="Q1947" s="135"/>
    </row>
    <row r="1948" spans="11:17" ht="12.75">
      <c r="K1948" s="118"/>
      <c r="L1948" s="118"/>
      <c r="M1948" s="126"/>
      <c r="N1948" s="126"/>
      <c r="O1948" s="126"/>
      <c r="P1948" s="135"/>
      <c r="Q1948" s="135"/>
    </row>
    <row r="1949" spans="11:17" ht="12.75">
      <c r="K1949" s="118"/>
      <c r="L1949" s="118"/>
      <c r="M1949" s="126"/>
      <c r="N1949" s="126"/>
      <c r="O1949" s="126"/>
      <c r="P1949" s="135"/>
      <c r="Q1949" s="135"/>
    </row>
    <row r="1950" spans="11:17" ht="12.75">
      <c r="K1950" s="118"/>
      <c r="L1950" s="118"/>
      <c r="M1950" s="126"/>
      <c r="N1950" s="126"/>
      <c r="O1950" s="126"/>
      <c r="P1950" s="135"/>
      <c r="Q1950" s="135"/>
    </row>
    <row r="1951" spans="11:17" ht="12.75">
      <c r="K1951" s="118"/>
      <c r="L1951" s="118"/>
      <c r="M1951" s="126"/>
      <c r="N1951" s="126"/>
      <c r="O1951" s="126"/>
      <c r="P1951" s="135"/>
      <c r="Q1951" s="135"/>
    </row>
    <row r="1952" spans="11:17" ht="12.75">
      <c r="K1952" s="118"/>
      <c r="L1952" s="118"/>
      <c r="M1952" s="126"/>
      <c r="N1952" s="126"/>
      <c r="O1952" s="126"/>
      <c r="P1952" s="135"/>
      <c r="Q1952" s="135"/>
    </row>
    <row r="1953" spans="11:17" ht="12.75">
      <c r="K1953" s="118"/>
      <c r="L1953" s="118"/>
      <c r="M1953" s="126"/>
      <c r="N1953" s="126"/>
      <c r="O1953" s="126"/>
      <c r="P1953" s="135"/>
      <c r="Q1953" s="135"/>
    </row>
    <row r="1954" spans="11:17" ht="12.75">
      <c r="K1954" s="118"/>
      <c r="L1954" s="118"/>
      <c r="M1954" s="126"/>
      <c r="N1954" s="126"/>
      <c r="O1954" s="126"/>
      <c r="P1954" s="135"/>
      <c r="Q1954" s="135"/>
    </row>
    <row r="1955" spans="11:17" ht="12.75">
      <c r="K1955" s="118"/>
      <c r="L1955" s="118"/>
      <c r="M1955" s="126"/>
      <c r="N1955" s="126"/>
      <c r="O1955" s="126"/>
      <c r="P1955" s="135"/>
      <c r="Q1955" s="135"/>
    </row>
    <row r="1956" spans="11:17" ht="12.75">
      <c r="K1956" s="118"/>
      <c r="L1956" s="118"/>
      <c r="M1956" s="126"/>
      <c r="N1956" s="126"/>
      <c r="O1956" s="126"/>
      <c r="P1956" s="135"/>
      <c r="Q1956" s="135"/>
    </row>
    <row r="1957" spans="11:17" ht="12.75">
      <c r="K1957" s="118"/>
      <c r="L1957" s="118"/>
      <c r="M1957" s="126"/>
      <c r="N1957" s="126"/>
      <c r="O1957" s="126"/>
      <c r="P1957" s="135"/>
      <c r="Q1957" s="135"/>
    </row>
    <row r="1958" spans="11:17" ht="12.75">
      <c r="K1958" s="118"/>
      <c r="L1958" s="118"/>
      <c r="M1958" s="126"/>
      <c r="N1958" s="126"/>
      <c r="O1958" s="126"/>
      <c r="P1958" s="135"/>
      <c r="Q1958" s="135"/>
    </row>
    <row r="1959" spans="11:17" ht="12.75">
      <c r="K1959" s="118"/>
      <c r="L1959" s="118"/>
      <c r="M1959" s="126"/>
      <c r="N1959" s="126"/>
      <c r="O1959" s="126"/>
      <c r="P1959" s="135"/>
      <c r="Q1959" s="135"/>
    </row>
    <row r="1960" spans="11:17" ht="12.75">
      <c r="K1960" s="118"/>
      <c r="L1960" s="118"/>
      <c r="M1960" s="126"/>
      <c r="N1960" s="126"/>
      <c r="O1960" s="126"/>
      <c r="P1960" s="135"/>
      <c r="Q1960" s="135"/>
    </row>
    <row r="1961" spans="11:17" ht="12.75">
      <c r="K1961" s="118"/>
      <c r="L1961" s="118"/>
      <c r="M1961" s="126"/>
      <c r="N1961" s="126"/>
      <c r="O1961" s="126"/>
      <c r="P1961" s="135"/>
      <c r="Q1961" s="135"/>
    </row>
    <row r="1962" spans="11:17" ht="12.75">
      <c r="K1962" s="118"/>
      <c r="L1962" s="118"/>
      <c r="M1962" s="126"/>
      <c r="N1962" s="126"/>
      <c r="O1962" s="126"/>
      <c r="P1962" s="135"/>
      <c r="Q1962" s="135"/>
    </row>
    <row r="1963" spans="11:17" ht="12.75">
      <c r="K1963" s="118"/>
      <c r="L1963" s="118"/>
      <c r="M1963" s="126"/>
      <c r="N1963" s="126"/>
      <c r="O1963" s="126"/>
      <c r="P1963" s="135"/>
      <c r="Q1963" s="135"/>
    </row>
    <row r="1964" spans="11:17" ht="12.75">
      <c r="K1964" s="118"/>
      <c r="L1964" s="118"/>
      <c r="M1964" s="126"/>
      <c r="N1964" s="126"/>
      <c r="O1964" s="126"/>
      <c r="P1964" s="135"/>
      <c r="Q1964" s="135"/>
    </row>
    <row r="1965" spans="11:17" ht="12.75">
      <c r="K1965" s="118"/>
      <c r="L1965" s="118"/>
      <c r="M1965" s="126"/>
      <c r="N1965" s="126"/>
      <c r="O1965" s="126"/>
      <c r="P1965" s="135"/>
      <c r="Q1965" s="135"/>
    </row>
    <row r="1966" spans="11:17" ht="12.75">
      <c r="K1966" s="118"/>
      <c r="L1966" s="118"/>
      <c r="M1966" s="126"/>
      <c r="N1966" s="126"/>
      <c r="O1966" s="126"/>
      <c r="P1966" s="135"/>
      <c r="Q1966" s="135"/>
    </row>
    <row r="1967" spans="11:17" ht="12.75">
      <c r="K1967" s="118"/>
      <c r="L1967" s="118"/>
      <c r="M1967" s="126"/>
      <c r="N1967" s="126"/>
      <c r="O1967" s="126"/>
      <c r="P1967" s="135"/>
      <c r="Q1967" s="135"/>
    </row>
    <row r="1968" spans="11:17" ht="12.75">
      <c r="K1968" s="118"/>
      <c r="L1968" s="118"/>
      <c r="M1968" s="126"/>
      <c r="N1968" s="126"/>
      <c r="O1968" s="126"/>
      <c r="P1968" s="135"/>
      <c r="Q1968" s="135"/>
    </row>
    <row r="1969" spans="11:17" ht="12.75">
      <c r="K1969" s="118"/>
      <c r="L1969" s="118"/>
      <c r="M1969" s="126"/>
      <c r="N1969" s="126"/>
      <c r="O1969" s="126"/>
      <c r="P1969" s="135"/>
      <c r="Q1969" s="135"/>
    </row>
    <row r="1970" spans="11:17" ht="12.75">
      <c r="K1970" s="118"/>
      <c r="L1970" s="118"/>
      <c r="M1970" s="126"/>
      <c r="N1970" s="126"/>
      <c r="O1970" s="126"/>
      <c r="P1970" s="135"/>
      <c r="Q1970" s="135"/>
    </row>
    <row r="1971" spans="11:17" ht="12.75">
      <c r="K1971" s="118"/>
      <c r="L1971" s="118"/>
      <c r="M1971" s="126"/>
      <c r="N1971" s="126"/>
      <c r="O1971" s="126"/>
      <c r="P1971" s="135"/>
      <c r="Q1971" s="135"/>
    </row>
    <row r="1972" spans="11:17" ht="12.75">
      <c r="K1972" s="118"/>
      <c r="L1972" s="118"/>
      <c r="M1972" s="126"/>
      <c r="N1972" s="126"/>
      <c r="O1972" s="126"/>
      <c r="P1972" s="135"/>
      <c r="Q1972" s="135"/>
    </row>
    <row r="1973" spans="11:17" ht="12.75">
      <c r="K1973" s="118"/>
      <c r="L1973" s="118"/>
      <c r="M1973" s="126"/>
      <c r="N1973" s="126"/>
      <c r="O1973" s="126"/>
      <c r="P1973" s="135"/>
      <c r="Q1973" s="135"/>
    </row>
    <row r="1974" spans="11:17" ht="12.75">
      <c r="K1974" s="118"/>
      <c r="L1974" s="118"/>
      <c r="M1974" s="126"/>
      <c r="N1974" s="126"/>
      <c r="O1974" s="126"/>
      <c r="P1974" s="135"/>
      <c r="Q1974" s="135"/>
    </row>
    <row r="1975" spans="11:17" ht="12.75">
      <c r="K1975" s="118"/>
      <c r="L1975" s="118"/>
      <c r="M1975" s="126"/>
      <c r="N1975" s="126"/>
      <c r="O1975" s="126"/>
      <c r="P1975" s="135"/>
      <c r="Q1975" s="135"/>
    </row>
    <row r="1976" spans="11:17" ht="12.75">
      <c r="K1976" s="118"/>
      <c r="L1976" s="118"/>
      <c r="M1976" s="126"/>
      <c r="N1976" s="126"/>
      <c r="O1976" s="126"/>
      <c r="P1976" s="135"/>
      <c r="Q1976" s="135"/>
    </row>
    <row r="1977" spans="11:17" ht="12.75">
      <c r="K1977" s="118"/>
      <c r="L1977" s="118"/>
      <c r="M1977" s="126"/>
      <c r="N1977" s="126"/>
      <c r="O1977" s="126"/>
      <c r="P1977" s="135"/>
      <c r="Q1977" s="135"/>
    </row>
    <row r="1978" spans="11:17" ht="12.75">
      <c r="K1978" s="118"/>
      <c r="L1978" s="118"/>
      <c r="M1978" s="126"/>
      <c r="N1978" s="126"/>
      <c r="O1978" s="126"/>
      <c r="P1978" s="135"/>
      <c r="Q1978" s="135"/>
    </row>
    <row r="1979" spans="11:17" ht="12.75">
      <c r="K1979" s="118"/>
      <c r="L1979" s="118"/>
      <c r="M1979" s="126"/>
      <c r="N1979" s="126"/>
      <c r="O1979" s="126"/>
      <c r="P1979" s="135"/>
      <c r="Q1979" s="135"/>
    </row>
    <row r="1980" spans="11:17" ht="12.75">
      <c r="K1980" s="118"/>
      <c r="L1980" s="118"/>
      <c r="M1980" s="126"/>
      <c r="N1980" s="126"/>
      <c r="O1980" s="126"/>
      <c r="P1980" s="135"/>
      <c r="Q1980" s="135"/>
    </row>
    <row r="1981" spans="11:17" ht="12.75">
      <c r="K1981" s="118"/>
      <c r="L1981" s="118"/>
      <c r="M1981" s="126"/>
      <c r="N1981" s="126"/>
      <c r="O1981" s="126"/>
      <c r="P1981" s="135"/>
      <c r="Q1981" s="135"/>
    </row>
    <row r="1982" spans="11:17" ht="12.75">
      <c r="K1982" s="118"/>
      <c r="L1982" s="118"/>
      <c r="M1982" s="126"/>
      <c r="N1982" s="126"/>
      <c r="O1982" s="126"/>
      <c r="P1982" s="135"/>
      <c r="Q1982" s="135"/>
    </row>
    <row r="1983" spans="11:17" ht="12.75">
      <c r="K1983" s="118"/>
      <c r="L1983" s="118"/>
      <c r="M1983" s="126"/>
      <c r="N1983" s="126"/>
      <c r="O1983" s="126"/>
      <c r="P1983" s="135"/>
      <c r="Q1983" s="135"/>
    </row>
    <row r="1984" spans="11:17" ht="12.75">
      <c r="K1984" s="118"/>
      <c r="L1984" s="118"/>
      <c r="M1984" s="126"/>
      <c r="N1984" s="126"/>
      <c r="O1984" s="126"/>
      <c r="P1984" s="135"/>
      <c r="Q1984" s="135"/>
    </row>
    <row r="1985" spans="11:17" ht="12.75">
      <c r="K1985" s="118"/>
      <c r="L1985" s="118"/>
      <c r="M1985" s="126"/>
      <c r="N1985" s="126"/>
      <c r="O1985" s="126"/>
      <c r="P1985" s="135"/>
      <c r="Q1985" s="135"/>
    </row>
    <row r="1986" spans="11:17" ht="12.75">
      <c r="K1986" s="118"/>
      <c r="L1986" s="118"/>
      <c r="M1986" s="126"/>
      <c r="N1986" s="126"/>
      <c r="O1986" s="126"/>
      <c r="P1986" s="135"/>
      <c r="Q1986" s="135"/>
    </row>
    <row r="1987" spans="11:17" ht="12.75">
      <c r="K1987" s="118"/>
      <c r="L1987" s="118"/>
      <c r="M1987" s="126"/>
      <c r="N1987" s="126"/>
      <c r="O1987" s="126"/>
      <c r="P1987" s="135"/>
      <c r="Q1987" s="135"/>
    </row>
    <row r="1988" spans="11:17" ht="12.75">
      <c r="K1988" s="118"/>
      <c r="L1988" s="118"/>
      <c r="M1988" s="126"/>
      <c r="N1988" s="126"/>
      <c r="O1988" s="126"/>
      <c r="P1988" s="135"/>
      <c r="Q1988" s="135"/>
    </row>
    <row r="1989" spans="11:17" ht="12.75">
      <c r="K1989" s="118"/>
      <c r="L1989" s="118"/>
      <c r="M1989" s="126"/>
      <c r="N1989" s="126"/>
      <c r="O1989" s="126"/>
      <c r="P1989" s="135"/>
      <c r="Q1989" s="135"/>
    </row>
    <row r="1990" spans="11:17" ht="12.75">
      <c r="K1990" s="118"/>
      <c r="L1990" s="118"/>
      <c r="M1990" s="126"/>
      <c r="N1990" s="126"/>
      <c r="O1990" s="126"/>
      <c r="P1990" s="135"/>
      <c r="Q1990" s="135"/>
    </row>
    <row r="1991" spans="11:17" ht="12.75">
      <c r="K1991" s="118"/>
      <c r="L1991" s="118"/>
      <c r="M1991" s="126"/>
      <c r="N1991" s="126"/>
      <c r="O1991" s="126"/>
      <c r="P1991" s="135"/>
      <c r="Q1991" s="135"/>
    </row>
    <row r="1992" spans="11:17" ht="12.75">
      <c r="K1992" s="118"/>
      <c r="L1992" s="118"/>
      <c r="M1992" s="126"/>
      <c r="N1992" s="126"/>
      <c r="O1992" s="126"/>
      <c r="P1992" s="135"/>
      <c r="Q1992" s="135"/>
    </row>
    <row r="1993" spans="11:17" ht="12.75">
      <c r="K1993" s="118"/>
      <c r="L1993" s="118"/>
      <c r="M1993" s="126"/>
      <c r="N1993" s="126"/>
      <c r="O1993" s="126"/>
      <c r="P1993" s="135"/>
      <c r="Q1993" s="135"/>
    </row>
    <row r="1994" spans="11:17" ht="12.75">
      <c r="K1994" s="118"/>
      <c r="L1994" s="118"/>
      <c r="M1994" s="126"/>
      <c r="N1994" s="126"/>
      <c r="O1994" s="126"/>
      <c r="P1994" s="135"/>
      <c r="Q1994" s="135"/>
    </row>
    <row r="1995" spans="11:17" ht="12.75">
      <c r="K1995" s="118"/>
      <c r="L1995" s="118"/>
      <c r="M1995" s="126"/>
      <c r="N1995" s="126"/>
      <c r="O1995" s="126"/>
      <c r="P1995" s="135"/>
      <c r="Q1995" s="135"/>
    </row>
    <row r="1996" spans="11:17" ht="12.75">
      <c r="K1996" s="118"/>
      <c r="L1996" s="118"/>
      <c r="M1996" s="126"/>
      <c r="N1996" s="126"/>
      <c r="O1996" s="126"/>
      <c r="P1996" s="135"/>
      <c r="Q1996" s="135"/>
    </row>
    <row r="1997" spans="11:17" ht="12.75">
      <c r="K1997" s="118"/>
      <c r="L1997" s="118"/>
      <c r="M1997" s="126"/>
      <c r="N1997" s="126"/>
      <c r="O1997" s="126"/>
      <c r="P1997" s="135"/>
      <c r="Q1997" s="135"/>
    </row>
    <row r="1998" spans="11:17" ht="12.75">
      <c r="K1998" s="118"/>
      <c r="L1998" s="118"/>
      <c r="M1998" s="126"/>
      <c r="N1998" s="126"/>
      <c r="O1998" s="126"/>
      <c r="P1998" s="135"/>
      <c r="Q1998" s="135"/>
    </row>
    <row r="1999" spans="11:17" ht="12.75">
      <c r="K1999" s="118"/>
      <c r="L1999" s="118"/>
      <c r="M1999" s="126"/>
      <c r="N1999" s="126"/>
      <c r="O1999" s="126"/>
      <c r="P1999" s="135"/>
      <c r="Q1999" s="135"/>
    </row>
    <row r="2000" spans="11:17" ht="12.75">
      <c r="K2000" s="118"/>
      <c r="L2000" s="118"/>
      <c r="M2000" s="126"/>
      <c r="N2000" s="126"/>
      <c r="O2000" s="126"/>
      <c r="P2000" s="135"/>
      <c r="Q2000" s="135"/>
    </row>
    <row r="2001" spans="11:17" ht="12.75">
      <c r="K2001" s="118"/>
      <c r="L2001" s="118"/>
      <c r="M2001" s="126"/>
      <c r="N2001" s="126"/>
      <c r="O2001" s="126"/>
      <c r="P2001" s="135"/>
      <c r="Q2001" s="135"/>
    </row>
    <row r="2002" spans="11:17" ht="12.75">
      <c r="K2002" s="118"/>
      <c r="L2002" s="118"/>
      <c r="M2002" s="126"/>
      <c r="N2002" s="126"/>
      <c r="O2002" s="126"/>
      <c r="P2002" s="135"/>
      <c r="Q2002" s="135"/>
    </row>
    <row r="2003" spans="11:17" ht="12.75">
      <c r="K2003" s="118"/>
      <c r="L2003" s="118"/>
      <c r="M2003" s="126"/>
      <c r="N2003" s="126"/>
      <c r="O2003" s="126"/>
      <c r="P2003" s="135"/>
      <c r="Q2003" s="135"/>
    </row>
    <row r="2004" spans="11:17" ht="12.75">
      <c r="K2004" s="118"/>
      <c r="L2004" s="118"/>
      <c r="M2004" s="126"/>
      <c r="N2004" s="126"/>
      <c r="O2004" s="126"/>
      <c r="P2004" s="135"/>
      <c r="Q2004" s="135"/>
    </row>
    <row r="2005" spans="11:17" ht="12.75">
      <c r="K2005" s="118"/>
      <c r="L2005" s="118"/>
      <c r="M2005" s="126"/>
      <c r="N2005" s="126"/>
      <c r="O2005" s="126"/>
      <c r="P2005" s="135"/>
      <c r="Q2005" s="135"/>
    </row>
    <row r="2006" spans="11:17" ht="12.75">
      <c r="K2006" s="118"/>
      <c r="L2006" s="118"/>
      <c r="M2006" s="126"/>
      <c r="N2006" s="126"/>
      <c r="O2006" s="126"/>
      <c r="P2006" s="135"/>
      <c r="Q2006" s="135"/>
    </row>
    <row r="2007" spans="11:17" ht="12.75">
      <c r="K2007" s="118"/>
      <c r="L2007" s="118"/>
      <c r="M2007" s="126"/>
      <c r="N2007" s="126"/>
      <c r="O2007" s="126"/>
      <c r="P2007" s="135"/>
      <c r="Q2007" s="135"/>
    </row>
    <row r="2008" spans="11:17" ht="12.75">
      <c r="K2008" s="118"/>
      <c r="L2008" s="118"/>
      <c r="M2008" s="126"/>
      <c r="N2008" s="126"/>
      <c r="O2008" s="126"/>
      <c r="P2008" s="135"/>
      <c r="Q2008" s="135"/>
    </row>
    <row r="2009" spans="11:17" ht="12.75">
      <c r="K2009" s="118"/>
      <c r="L2009" s="118"/>
      <c r="M2009" s="126"/>
      <c r="N2009" s="126"/>
      <c r="O2009" s="126"/>
      <c r="P2009" s="135"/>
      <c r="Q2009" s="135"/>
    </row>
    <row r="2010" spans="11:17" ht="12.75">
      <c r="K2010" s="118"/>
      <c r="L2010" s="118"/>
      <c r="M2010" s="126"/>
      <c r="N2010" s="126"/>
      <c r="O2010" s="126"/>
      <c r="P2010" s="135"/>
      <c r="Q2010" s="135"/>
    </row>
    <row r="2011" spans="11:17" ht="12.75">
      <c r="K2011" s="118"/>
      <c r="L2011" s="118"/>
      <c r="M2011" s="126"/>
      <c r="N2011" s="126"/>
      <c r="O2011" s="126"/>
      <c r="P2011" s="135"/>
      <c r="Q2011" s="135"/>
    </row>
    <row r="2012" spans="11:17" ht="12.75">
      <c r="K2012" s="118"/>
      <c r="L2012" s="118"/>
      <c r="M2012" s="126"/>
      <c r="N2012" s="126"/>
      <c r="O2012" s="126"/>
      <c r="P2012" s="135"/>
      <c r="Q2012" s="135"/>
    </row>
    <row r="2013" spans="11:17" ht="12.75">
      <c r="K2013" s="118"/>
      <c r="L2013" s="118"/>
      <c r="M2013" s="126"/>
      <c r="N2013" s="126"/>
      <c r="O2013" s="126"/>
      <c r="P2013" s="135"/>
      <c r="Q2013" s="135"/>
    </row>
    <row r="2014" spans="11:17" ht="12.75">
      <c r="K2014" s="118"/>
      <c r="L2014" s="118"/>
      <c r="M2014" s="126"/>
      <c r="N2014" s="126"/>
      <c r="O2014" s="126"/>
      <c r="P2014" s="135"/>
      <c r="Q2014" s="135"/>
    </row>
    <row r="2015" spans="11:17" ht="12.75">
      <c r="K2015" s="118"/>
      <c r="L2015" s="118"/>
      <c r="M2015" s="126"/>
      <c r="N2015" s="126"/>
      <c r="O2015" s="126"/>
      <c r="P2015" s="135"/>
      <c r="Q2015" s="135"/>
    </row>
    <row r="2016" spans="11:17" ht="12.75">
      <c r="K2016" s="118"/>
      <c r="L2016" s="118"/>
      <c r="M2016" s="126"/>
      <c r="N2016" s="126"/>
      <c r="O2016" s="126"/>
      <c r="P2016" s="135"/>
      <c r="Q2016" s="135"/>
    </row>
    <row r="2017" spans="11:17" ht="12.75">
      <c r="K2017" s="118"/>
      <c r="L2017" s="118"/>
      <c r="M2017" s="126"/>
      <c r="N2017" s="126"/>
      <c r="O2017" s="126"/>
      <c r="P2017" s="135"/>
      <c r="Q2017" s="135"/>
    </row>
    <row r="2018" spans="11:17" ht="12.75">
      <c r="K2018" s="118"/>
      <c r="L2018" s="118"/>
      <c r="M2018" s="126"/>
      <c r="N2018" s="126"/>
      <c r="O2018" s="126"/>
      <c r="P2018" s="135"/>
      <c r="Q2018" s="135"/>
    </row>
    <row r="2019" spans="11:17" ht="12.75">
      <c r="K2019" s="118"/>
      <c r="L2019" s="118"/>
      <c r="M2019" s="126"/>
      <c r="N2019" s="126"/>
      <c r="O2019" s="126"/>
      <c r="P2019" s="135"/>
      <c r="Q2019" s="135"/>
    </row>
    <row r="2020" spans="11:17" ht="12.75">
      <c r="K2020" s="118"/>
      <c r="L2020" s="118"/>
      <c r="M2020" s="126"/>
      <c r="N2020" s="126"/>
      <c r="O2020" s="126"/>
      <c r="P2020" s="135"/>
      <c r="Q2020" s="135"/>
    </row>
    <row r="2021" spans="11:17" ht="12.75">
      <c r="K2021" s="118"/>
      <c r="L2021" s="118"/>
      <c r="M2021" s="126"/>
      <c r="N2021" s="126"/>
      <c r="O2021" s="126"/>
      <c r="P2021" s="135"/>
      <c r="Q2021" s="135"/>
    </row>
    <row r="2022" spans="11:17" ht="12.75">
      <c r="K2022" s="118"/>
      <c r="L2022" s="118"/>
      <c r="M2022" s="126"/>
      <c r="N2022" s="126"/>
      <c r="O2022" s="126"/>
      <c r="P2022" s="135"/>
      <c r="Q2022" s="135"/>
    </row>
    <row r="2023" spans="11:17" ht="12.75">
      <c r="K2023" s="118"/>
      <c r="L2023" s="118"/>
      <c r="M2023" s="126"/>
      <c r="N2023" s="126"/>
      <c r="O2023" s="126"/>
      <c r="P2023" s="135"/>
      <c r="Q2023" s="135"/>
    </row>
    <row r="2024" spans="11:17" ht="12.75">
      <c r="K2024" s="118"/>
      <c r="L2024" s="118"/>
      <c r="M2024" s="126"/>
      <c r="N2024" s="126"/>
      <c r="O2024" s="126"/>
      <c r="P2024" s="135"/>
      <c r="Q2024" s="135"/>
    </row>
    <row r="2025" spans="11:17" ht="12.75">
      <c r="K2025" s="118"/>
      <c r="L2025" s="118"/>
      <c r="M2025" s="126"/>
      <c r="N2025" s="126"/>
      <c r="O2025" s="126"/>
      <c r="P2025" s="135"/>
      <c r="Q2025" s="135"/>
    </row>
    <row r="2026" spans="11:17" ht="12.75">
      <c r="K2026" s="118"/>
      <c r="L2026" s="118"/>
      <c r="M2026" s="126"/>
      <c r="N2026" s="126"/>
      <c r="O2026" s="126"/>
      <c r="P2026" s="135"/>
      <c r="Q2026" s="135"/>
    </row>
    <row r="2027" spans="11:17" ht="12.75">
      <c r="K2027" s="118"/>
      <c r="L2027" s="118"/>
      <c r="M2027" s="126"/>
      <c r="N2027" s="126"/>
      <c r="O2027" s="126"/>
      <c r="P2027" s="135"/>
      <c r="Q2027" s="135"/>
    </row>
    <row r="2028" spans="11:17" ht="12.75">
      <c r="K2028" s="118"/>
      <c r="L2028" s="118"/>
      <c r="M2028" s="126"/>
      <c r="N2028" s="126"/>
      <c r="O2028" s="126"/>
      <c r="P2028" s="135"/>
      <c r="Q2028" s="135"/>
    </row>
    <row r="2029" spans="11:17" ht="12.75">
      <c r="K2029" s="118"/>
      <c r="L2029" s="118"/>
      <c r="M2029" s="126"/>
      <c r="N2029" s="126"/>
      <c r="O2029" s="126"/>
      <c r="P2029" s="135"/>
      <c r="Q2029" s="135"/>
    </row>
    <row r="2030" spans="11:17" ht="12.75">
      <c r="K2030" s="118"/>
      <c r="L2030" s="118"/>
      <c r="M2030" s="126"/>
      <c r="N2030" s="126"/>
      <c r="O2030" s="126"/>
      <c r="P2030" s="135"/>
      <c r="Q2030" s="135"/>
    </row>
    <row r="2031" spans="11:17" ht="12.75">
      <c r="K2031" s="118"/>
      <c r="L2031" s="118"/>
      <c r="M2031" s="126"/>
      <c r="N2031" s="126"/>
      <c r="O2031" s="126"/>
      <c r="P2031" s="135"/>
      <c r="Q2031" s="135"/>
    </row>
    <row r="2032" spans="11:17" ht="12.75">
      <c r="K2032" s="118"/>
      <c r="L2032" s="118"/>
      <c r="M2032" s="126"/>
      <c r="N2032" s="126"/>
      <c r="O2032" s="126"/>
      <c r="P2032" s="135"/>
      <c r="Q2032" s="135"/>
    </row>
    <row r="2033" spans="11:17" ht="12.75">
      <c r="K2033" s="118"/>
      <c r="L2033" s="118"/>
      <c r="M2033" s="126"/>
      <c r="N2033" s="126"/>
      <c r="O2033" s="126"/>
      <c r="P2033" s="135"/>
      <c r="Q2033" s="135"/>
    </row>
    <row r="2034" spans="11:17" ht="12.75">
      <c r="K2034" s="118"/>
      <c r="L2034" s="118"/>
      <c r="M2034" s="126"/>
      <c r="N2034" s="126"/>
      <c r="O2034" s="126"/>
      <c r="P2034" s="135"/>
      <c r="Q2034" s="135"/>
    </row>
    <row r="2035" spans="11:17" ht="12.75">
      <c r="K2035" s="118"/>
      <c r="L2035" s="118"/>
      <c r="M2035" s="126"/>
      <c r="N2035" s="126"/>
      <c r="O2035" s="126"/>
      <c r="P2035" s="135"/>
      <c r="Q2035" s="135"/>
    </row>
    <row r="2036" spans="11:17" ht="12.75">
      <c r="K2036" s="118"/>
      <c r="L2036" s="118"/>
      <c r="M2036" s="126"/>
      <c r="N2036" s="126"/>
      <c r="O2036" s="126"/>
      <c r="P2036" s="135"/>
      <c r="Q2036" s="135"/>
    </row>
    <row r="2037" spans="11:17" ht="12.75">
      <c r="K2037" s="118"/>
      <c r="L2037" s="118"/>
      <c r="M2037" s="126"/>
      <c r="N2037" s="126"/>
      <c r="O2037" s="126"/>
      <c r="P2037" s="135"/>
      <c r="Q2037" s="135"/>
    </row>
    <row r="2038" spans="11:17" ht="12.75">
      <c r="K2038" s="118"/>
      <c r="L2038" s="118"/>
      <c r="M2038" s="126"/>
      <c r="N2038" s="126"/>
      <c r="O2038" s="126"/>
      <c r="P2038" s="135"/>
      <c r="Q2038" s="135"/>
    </row>
    <row r="2039" spans="11:17" ht="12.75">
      <c r="K2039" s="118"/>
      <c r="L2039" s="118"/>
      <c r="M2039" s="126"/>
      <c r="N2039" s="126"/>
      <c r="O2039" s="126"/>
      <c r="P2039" s="135"/>
      <c r="Q2039" s="135"/>
    </row>
    <row r="2040" spans="11:17" ht="12.75">
      <c r="K2040" s="118"/>
      <c r="L2040" s="118"/>
      <c r="M2040" s="126"/>
      <c r="N2040" s="126"/>
      <c r="O2040" s="126"/>
      <c r="P2040" s="135"/>
      <c r="Q2040" s="135"/>
    </row>
    <row r="2041" spans="11:17" ht="12.75">
      <c r="K2041" s="118"/>
      <c r="L2041" s="118"/>
      <c r="M2041" s="126"/>
      <c r="N2041" s="126"/>
      <c r="O2041" s="126"/>
      <c r="P2041" s="135"/>
      <c r="Q2041" s="135"/>
    </row>
    <row r="2042" spans="11:17" ht="12.75">
      <c r="K2042" s="118"/>
      <c r="L2042" s="118"/>
      <c r="M2042" s="126"/>
      <c r="N2042" s="126"/>
      <c r="O2042" s="126"/>
      <c r="P2042" s="135"/>
      <c r="Q2042" s="135"/>
    </row>
    <row r="2043" spans="11:17" ht="12.75">
      <c r="K2043" s="118"/>
      <c r="L2043" s="118"/>
      <c r="M2043" s="126"/>
      <c r="N2043" s="126"/>
      <c r="O2043" s="126"/>
      <c r="P2043" s="135"/>
      <c r="Q2043" s="135"/>
    </row>
    <row r="2044" spans="11:17" ht="12.75">
      <c r="K2044" s="118"/>
      <c r="L2044" s="118"/>
      <c r="M2044" s="126"/>
      <c r="N2044" s="126"/>
      <c r="O2044" s="126"/>
      <c r="P2044" s="135"/>
      <c r="Q2044" s="135"/>
    </row>
    <row r="2045" spans="11:17" ht="12.75">
      <c r="K2045" s="118"/>
      <c r="L2045" s="118"/>
      <c r="M2045" s="126"/>
      <c r="N2045" s="126"/>
      <c r="O2045" s="126"/>
      <c r="P2045" s="135"/>
      <c r="Q2045" s="135"/>
    </row>
    <row r="2046" spans="11:17" ht="12.75">
      <c r="K2046" s="118"/>
      <c r="L2046" s="118"/>
      <c r="M2046" s="126"/>
      <c r="N2046" s="126"/>
      <c r="O2046" s="126"/>
      <c r="P2046" s="135"/>
      <c r="Q2046" s="135"/>
    </row>
    <row r="2047" spans="11:17" ht="12.75">
      <c r="K2047" s="118"/>
      <c r="L2047" s="118"/>
      <c r="M2047" s="126"/>
      <c r="N2047" s="126"/>
      <c r="O2047" s="126"/>
      <c r="P2047" s="135"/>
      <c r="Q2047" s="135"/>
    </row>
    <row r="2048" spans="11:17" ht="12.75">
      <c r="K2048" s="118"/>
      <c r="L2048" s="118"/>
      <c r="M2048" s="126"/>
      <c r="N2048" s="126"/>
      <c r="O2048" s="126"/>
      <c r="P2048" s="135"/>
      <c r="Q2048" s="135"/>
    </row>
    <row r="2049" spans="11:17" ht="12.75">
      <c r="K2049" s="118"/>
      <c r="L2049" s="118"/>
      <c r="M2049" s="126"/>
      <c r="N2049" s="126"/>
      <c r="O2049" s="126"/>
      <c r="P2049" s="135"/>
      <c r="Q2049" s="135"/>
    </row>
    <row r="2050" spans="11:17" ht="12.75">
      <c r="K2050" s="118"/>
      <c r="L2050" s="118"/>
      <c r="M2050" s="126"/>
      <c r="N2050" s="126"/>
      <c r="O2050" s="126"/>
      <c r="P2050" s="135"/>
      <c r="Q2050" s="135"/>
    </row>
    <row r="2051" spans="11:17" ht="12.75">
      <c r="K2051" s="118"/>
      <c r="L2051" s="118"/>
      <c r="M2051" s="126"/>
      <c r="N2051" s="126"/>
      <c r="O2051" s="126"/>
      <c r="P2051" s="135"/>
      <c r="Q2051" s="135"/>
    </row>
    <row r="2052" spans="11:17" ht="12.75">
      <c r="K2052" s="118"/>
      <c r="L2052" s="118"/>
      <c r="M2052" s="126"/>
      <c r="N2052" s="126"/>
      <c r="O2052" s="126"/>
      <c r="P2052" s="135"/>
      <c r="Q2052" s="135"/>
    </row>
    <row r="2053" spans="11:17" ht="12.75">
      <c r="K2053" s="118"/>
      <c r="L2053" s="118"/>
      <c r="M2053" s="126"/>
      <c r="N2053" s="126"/>
      <c r="O2053" s="126"/>
      <c r="P2053" s="135"/>
      <c r="Q2053" s="135"/>
    </row>
    <row r="2054" spans="11:17" ht="12.75">
      <c r="K2054" s="118"/>
      <c r="L2054" s="118"/>
      <c r="M2054" s="126"/>
      <c r="N2054" s="126"/>
      <c r="O2054" s="126"/>
      <c r="P2054" s="135"/>
      <c r="Q2054" s="135"/>
    </row>
    <row r="2055" spans="11:17" ht="12.75">
      <c r="K2055" s="118"/>
      <c r="L2055" s="118"/>
      <c r="M2055" s="126"/>
      <c r="N2055" s="126"/>
      <c r="O2055" s="126"/>
      <c r="P2055" s="135"/>
      <c r="Q2055" s="135"/>
    </row>
    <row r="2056" spans="11:17" ht="12.75">
      <c r="K2056" s="118"/>
      <c r="L2056" s="118"/>
      <c r="M2056" s="126"/>
      <c r="N2056" s="126"/>
      <c r="O2056" s="126"/>
      <c r="P2056" s="135"/>
      <c r="Q2056" s="135"/>
    </row>
    <row r="2057" spans="11:17" ht="12.75">
      <c r="K2057" s="118"/>
      <c r="L2057" s="118"/>
      <c r="M2057" s="126"/>
      <c r="N2057" s="126"/>
      <c r="O2057" s="126"/>
      <c r="P2057" s="135"/>
      <c r="Q2057" s="135"/>
    </row>
    <row r="2058" spans="11:17" ht="12.75">
      <c r="K2058" s="118"/>
      <c r="L2058" s="118"/>
      <c r="M2058" s="126"/>
      <c r="N2058" s="126"/>
      <c r="O2058" s="126"/>
      <c r="P2058" s="135"/>
      <c r="Q2058" s="135"/>
    </row>
    <row r="2059" spans="11:17" ht="12.75">
      <c r="K2059" s="118"/>
      <c r="L2059" s="118"/>
      <c r="M2059" s="126"/>
      <c r="N2059" s="126"/>
      <c r="O2059" s="126"/>
      <c r="P2059" s="135"/>
      <c r="Q2059" s="135"/>
    </row>
    <row r="2060" spans="11:17" ht="12.75">
      <c r="K2060" s="118"/>
      <c r="L2060" s="118"/>
      <c r="M2060" s="126"/>
      <c r="N2060" s="126"/>
      <c r="O2060" s="126"/>
      <c r="P2060" s="135"/>
      <c r="Q2060" s="135"/>
    </row>
    <row r="2061" spans="11:17" ht="12.75">
      <c r="K2061" s="118"/>
      <c r="L2061" s="118"/>
      <c r="M2061" s="126"/>
      <c r="N2061" s="126"/>
      <c r="O2061" s="126"/>
      <c r="P2061" s="135"/>
      <c r="Q2061" s="135"/>
    </row>
    <row r="2062" spans="11:17" ht="12.75">
      <c r="K2062" s="118"/>
      <c r="L2062" s="118"/>
      <c r="M2062" s="126"/>
      <c r="N2062" s="126"/>
      <c r="O2062" s="126"/>
      <c r="P2062" s="135"/>
      <c r="Q2062" s="135"/>
    </row>
    <row r="2063" spans="11:17" ht="12.75">
      <c r="K2063" s="118"/>
      <c r="L2063" s="118"/>
      <c r="M2063" s="126"/>
      <c r="N2063" s="126"/>
      <c r="O2063" s="126"/>
      <c r="P2063" s="135"/>
      <c r="Q2063" s="135"/>
    </row>
    <row r="2064" spans="11:17" ht="12.75">
      <c r="K2064" s="118"/>
      <c r="L2064" s="118"/>
      <c r="M2064" s="126"/>
      <c r="N2064" s="126"/>
      <c r="O2064" s="126"/>
      <c r="P2064" s="135"/>
      <c r="Q2064" s="135"/>
    </row>
    <row r="2065" spans="11:17" ht="12.75">
      <c r="K2065" s="118"/>
      <c r="L2065" s="118"/>
      <c r="M2065" s="126"/>
      <c r="N2065" s="126"/>
      <c r="O2065" s="126"/>
      <c r="P2065" s="135"/>
      <c r="Q2065" s="135"/>
    </row>
    <row r="2066" spans="11:17" ht="12.75">
      <c r="K2066" s="118"/>
      <c r="L2066" s="118"/>
      <c r="M2066" s="126"/>
      <c r="N2066" s="126"/>
      <c r="O2066" s="126"/>
      <c r="P2066" s="135"/>
      <c r="Q2066" s="135"/>
    </row>
    <row r="2067" spans="11:17" ht="12.75">
      <c r="K2067" s="118"/>
      <c r="L2067" s="118"/>
      <c r="M2067" s="126"/>
      <c r="N2067" s="126"/>
      <c r="O2067" s="126"/>
      <c r="P2067" s="135"/>
      <c r="Q2067" s="135"/>
    </row>
    <row r="2068" spans="11:17" ht="12.75">
      <c r="K2068" s="118"/>
      <c r="L2068" s="118"/>
      <c r="M2068" s="126"/>
      <c r="N2068" s="126"/>
      <c r="O2068" s="126"/>
      <c r="P2068" s="135"/>
      <c r="Q2068" s="135"/>
    </row>
    <row r="2069" spans="11:17" ht="12.75">
      <c r="K2069" s="118"/>
      <c r="L2069" s="118"/>
      <c r="M2069" s="126"/>
      <c r="N2069" s="126"/>
      <c r="O2069" s="126"/>
      <c r="P2069" s="135"/>
      <c r="Q2069" s="135"/>
    </row>
    <row r="2070" spans="11:17" ht="12.75">
      <c r="K2070" s="118"/>
      <c r="L2070" s="118"/>
      <c r="M2070" s="126"/>
      <c r="N2070" s="126"/>
      <c r="O2070" s="126"/>
      <c r="P2070" s="135"/>
      <c r="Q2070" s="135"/>
    </row>
    <row r="2071" spans="11:17" ht="12.75">
      <c r="K2071" s="118"/>
      <c r="L2071" s="118"/>
      <c r="M2071" s="126"/>
      <c r="N2071" s="126"/>
      <c r="O2071" s="126"/>
      <c r="P2071" s="135"/>
      <c r="Q2071" s="135"/>
    </row>
    <row r="2072" spans="11:17" ht="12.75">
      <c r="K2072" s="118"/>
      <c r="L2072" s="118"/>
      <c r="M2072" s="126"/>
      <c r="N2072" s="126"/>
      <c r="O2072" s="126"/>
      <c r="P2072" s="135"/>
      <c r="Q2072" s="135"/>
    </row>
    <row r="2073" spans="11:17" ht="12.75">
      <c r="K2073" s="118"/>
      <c r="L2073" s="118"/>
      <c r="M2073" s="126"/>
      <c r="N2073" s="126"/>
      <c r="O2073" s="126"/>
      <c r="P2073" s="135"/>
      <c r="Q2073" s="135"/>
    </row>
    <row r="2074" spans="11:17" ht="12.75">
      <c r="K2074" s="118"/>
      <c r="L2074" s="118"/>
      <c r="M2074" s="126"/>
      <c r="N2074" s="126"/>
      <c r="O2074" s="126"/>
      <c r="P2074" s="135"/>
      <c r="Q2074" s="135"/>
    </row>
    <row r="2075" spans="11:17" ht="12.75">
      <c r="K2075" s="118"/>
      <c r="L2075" s="118"/>
      <c r="M2075" s="126"/>
      <c r="N2075" s="126"/>
      <c r="O2075" s="126"/>
      <c r="P2075" s="135"/>
      <c r="Q2075" s="135"/>
    </row>
    <row r="2076" spans="11:17" ht="12.75">
      <c r="K2076" s="118"/>
      <c r="L2076" s="118"/>
      <c r="M2076" s="126"/>
      <c r="N2076" s="126"/>
      <c r="O2076" s="126"/>
      <c r="P2076" s="135"/>
      <c r="Q2076" s="135"/>
    </row>
    <row r="2077" spans="11:17" ht="12.75">
      <c r="K2077" s="118"/>
      <c r="L2077" s="118"/>
      <c r="M2077" s="126"/>
      <c r="N2077" s="126"/>
      <c r="O2077" s="126"/>
      <c r="P2077" s="135"/>
      <c r="Q2077" s="135"/>
    </row>
    <row r="2078" spans="11:17" ht="12.75">
      <c r="K2078" s="118"/>
      <c r="L2078" s="118"/>
      <c r="M2078" s="126"/>
      <c r="N2078" s="126"/>
      <c r="O2078" s="126"/>
      <c r="P2078" s="135"/>
      <c r="Q2078" s="135"/>
    </row>
    <row r="2079" spans="11:17" ht="12.75">
      <c r="K2079" s="118"/>
      <c r="L2079" s="118"/>
      <c r="M2079" s="126"/>
      <c r="N2079" s="126"/>
      <c r="O2079" s="126"/>
      <c r="P2079" s="135"/>
      <c r="Q2079" s="135"/>
    </row>
    <row r="2080" spans="11:17" ht="12.75">
      <c r="K2080" s="118"/>
      <c r="L2080" s="118"/>
      <c r="M2080" s="126"/>
      <c r="N2080" s="126"/>
      <c r="O2080" s="126"/>
      <c r="P2080" s="135"/>
      <c r="Q2080" s="135"/>
    </row>
    <row r="2081" spans="11:17" ht="12.75">
      <c r="K2081" s="118"/>
      <c r="L2081" s="118"/>
      <c r="M2081" s="126"/>
      <c r="N2081" s="126"/>
      <c r="O2081" s="126"/>
      <c r="P2081" s="135"/>
      <c r="Q2081" s="135"/>
    </row>
    <row r="2082" spans="11:17" ht="12.75">
      <c r="K2082" s="118"/>
      <c r="L2082" s="118"/>
      <c r="M2082" s="126"/>
      <c r="N2082" s="126"/>
      <c r="O2082" s="126"/>
      <c r="P2082" s="135"/>
      <c r="Q2082" s="135"/>
    </row>
    <row r="2083" spans="11:17" ht="12.75">
      <c r="K2083" s="118"/>
      <c r="L2083" s="118"/>
      <c r="M2083" s="126"/>
      <c r="N2083" s="126"/>
      <c r="O2083" s="126"/>
      <c r="P2083" s="135"/>
      <c r="Q2083" s="135"/>
    </row>
    <row r="2084" spans="11:17" ht="12.75">
      <c r="K2084" s="118"/>
      <c r="L2084" s="118"/>
      <c r="M2084" s="126"/>
      <c r="N2084" s="126"/>
      <c r="O2084" s="126"/>
      <c r="P2084" s="135"/>
      <c r="Q2084" s="135"/>
    </row>
    <row r="2085" spans="11:17" ht="12.75">
      <c r="K2085" s="118"/>
      <c r="L2085" s="118"/>
      <c r="M2085" s="126"/>
      <c r="N2085" s="126"/>
      <c r="O2085" s="126"/>
      <c r="P2085" s="135"/>
      <c r="Q2085" s="135"/>
    </row>
    <row r="2086" spans="11:17" ht="12.75">
      <c r="K2086" s="118"/>
      <c r="L2086" s="118"/>
      <c r="M2086" s="126"/>
      <c r="N2086" s="126"/>
      <c r="O2086" s="126"/>
      <c r="P2086" s="135"/>
      <c r="Q2086" s="135"/>
    </row>
    <row r="2087" spans="11:17" ht="12.75">
      <c r="K2087" s="118"/>
      <c r="L2087" s="118"/>
      <c r="M2087" s="126"/>
      <c r="N2087" s="126"/>
      <c r="O2087" s="126"/>
      <c r="P2087" s="135"/>
      <c r="Q2087" s="135"/>
    </row>
    <row r="2088" spans="11:17" ht="12.75">
      <c r="K2088" s="118"/>
      <c r="L2088" s="118"/>
      <c r="M2088" s="126"/>
      <c r="N2088" s="126"/>
      <c r="O2088" s="126"/>
      <c r="P2088" s="135"/>
      <c r="Q2088" s="135"/>
    </row>
    <row r="2089" spans="11:17" ht="12.75">
      <c r="K2089" s="118"/>
      <c r="L2089" s="118"/>
      <c r="M2089" s="126"/>
      <c r="N2089" s="126"/>
      <c r="O2089" s="126"/>
      <c r="P2089" s="135"/>
      <c r="Q2089" s="135"/>
    </row>
    <row r="2090" spans="11:17" ht="12.75">
      <c r="K2090" s="118"/>
      <c r="L2090" s="118"/>
      <c r="M2090" s="126"/>
      <c r="N2090" s="126"/>
      <c r="O2090" s="126"/>
      <c r="P2090" s="135"/>
      <c r="Q2090" s="135"/>
    </row>
    <row r="2091" spans="11:17" ht="12.75">
      <c r="K2091" s="118"/>
      <c r="L2091" s="118"/>
      <c r="M2091" s="126"/>
      <c r="N2091" s="126"/>
      <c r="O2091" s="126"/>
      <c r="P2091" s="135"/>
      <c r="Q2091" s="135"/>
    </row>
    <row r="2092" spans="11:17" ht="12.75">
      <c r="K2092" s="118"/>
      <c r="L2092" s="118"/>
      <c r="M2092" s="126"/>
      <c r="N2092" s="126"/>
      <c r="O2092" s="126"/>
      <c r="P2092" s="135"/>
      <c r="Q2092" s="135"/>
    </row>
    <row r="2093" spans="11:17" ht="12.75">
      <c r="K2093" s="118"/>
      <c r="L2093" s="118"/>
      <c r="M2093" s="126"/>
      <c r="N2093" s="126"/>
      <c r="O2093" s="126"/>
      <c r="P2093" s="135"/>
      <c r="Q2093" s="135"/>
    </row>
    <row r="2094" spans="11:17" ht="12.75">
      <c r="K2094" s="118"/>
      <c r="L2094" s="118"/>
      <c r="M2094" s="126"/>
      <c r="N2094" s="126"/>
      <c r="O2094" s="126"/>
      <c r="P2094" s="135"/>
      <c r="Q2094" s="135"/>
    </row>
    <row r="2095" spans="11:17" ht="12.75">
      <c r="K2095" s="118"/>
      <c r="L2095" s="118"/>
      <c r="M2095" s="126"/>
      <c r="N2095" s="126"/>
      <c r="O2095" s="126"/>
      <c r="P2095" s="135"/>
      <c r="Q2095" s="135"/>
    </row>
    <row r="2096" spans="11:17" ht="12.75">
      <c r="K2096" s="118"/>
      <c r="L2096" s="118"/>
      <c r="M2096" s="126"/>
      <c r="N2096" s="126"/>
      <c r="O2096" s="126"/>
      <c r="P2096" s="135"/>
      <c r="Q2096" s="135"/>
    </row>
    <row r="2097" spans="11:17" ht="12.75">
      <c r="K2097" s="118"/>
      <c r="L2097" s="118"/>
      <c r="M2097" s="126"/>
      <c r="N2097" s="126"/>
      <c r="O2097" s="126"/>
      <c r="P2097" s="135"/>
      <c r="Q2097" s="135"/>
    </row>
    <row r="2098" spans="11:17" ht="12.75">
      <c r="K2098" s="118"/>
      <c r="L2098" s="118"/>
      <c r="M2098" s="126"/>
      <c r="N2098" s="126"/>
      <c r="O2098" s="126"/>
      <c r="P2098" s="135"/>
      <c r="Q2098" s="135"/>
    </row>
    <row r="2099" spans="11:17" ht="12.75">
      <c r="K2099" s="118"/>
      <c r="L2099" s="118"/>
      <c r="M2099" s="126"/>
      <c r="N2099" s="126"/>
      <c r="O2099" s="126"/>
      <c r="P2099" s="135"/>
      <c r="Q2099" s="135"/>
    </row>
    <row r="2100" spans="11:17" ht="12.75">
      <c r="K2100" s="118"/>
      <c r="L2100" s="118"/>
      <c r="M2100" s="126"/>
      <c r="N2100" s="126"/>
      <c r="O2100" s="126"/>
      <c r="P2100" s="135"/>
      <c r="Q2100" s="135"/>
    </row>
    <row r="2101" spans="11:17" ht="12.75">
      <c r="K2101" s="118"/>
      <c r="L2101" s="118"/>
      <c r="M2101" s="126"/>
      <c r="N2101" s="126"/>
      <c r="O2101" s="126"/>
      <c r="P2101" s="135"/>
      <c r="Q2101" s="135"/>
    </row>
    <row r="2102" spans="11:17" ht="12.75">
      <c r="K2102" s="118"/>
      <c r="L2102" s="118"/>
      <c r="M2102" s="126"/>
      <c r="N2102" s="126"/>
      <c r="O2102" s="126"/>
      <c r="P2102" s="135"/>
      <c r="Q2102" s="135"/>
    </row>
    <row r="2103" spans="11:17" ht="12.75">
      <c r="K2103" s="118"/>
      <c r="L2103" s="118"/>
      <c r="M2103" s="126"/>
      <c r="N2103" s="126"/>
      <c r="O2103" s="126"/>
      <c r="P2103" s="135"/>
      <c r="Q2103" s="135"/>
    </row>
    <row r="2104" spans="11:17" ht="12.75">
      <c r="K2104" s="118"/>
      <c r="L2104" s="118"/>
      <c r="M2104" s="126"/>
      <c r="N2104" s="126"/>
      <c r="O2104" s="126"/>
      <c r="P2104" s="135"/>
      <c r="Q2104" s="135"/>
    </row>
    <row r="2105" spans="11:17" ht="12.75">
      <c r="K2105" s="118"/>
      <c r="L2105" s="118"/>
      <c r="M2105" s="126"/>
      <c r="N2105" s="126"/>
      <c r="O2105" s="126"/>
      <c r="P2105" s="135"/>
      <c r="Q2105" s="135"/>
    </row>
    <row r="2106" spans="11:17" ht="12.75">
      <c r="K2106" s="118"/>
      <c r="L2106" s="118"/>
      <c r="M2106" s="126"/>
      <c r="N2106" s="126"/>
      <c r="O2106" s="126"/>
      <c r="P2106" s="135"/>
      <c r="Q2106" s="135"/>
    </row>
    <row r="2107" spans="11:17" ht="12.75">
      <c r="K2107" s="118"/>
      <c r="L2107" s="118"/>
      <c r="M2107" s="126"/>
      <c r="N2107" s="126"/>
      <c r="O2107" s="126"/>
      <c r="P2107" s="135"/>
      <c r="Q2107" s="135"/>
    </row>
    <row r="2108" spans="11:17" ht="12.75">
      <c r="K2108" s="118"/>
      <c r="L2108" s="118"/>
      <c r="M2108" s="126"/>
      <c r="N2108" s="126"/>
      <c r="O2108" s="126"/>
      <c r="P2108" s="135"/>
      <c r="Q2108" s="135"/>
    </row>
    <row r="2109" spans="11:17" ht="12.75">
      <c r="K2109" s="118"/>
      <c r="L2109" s="118"/>
      <c r="M2109" s="126"/>
      <c r="N2109" s="126"/>
      <c r="O2109" s="126"/>
      <c r="P2109" s="135"/>
      <c r="Q2109" s="135"/>
    </row>
    <row r="2110" spans="11:17" ht="12.75">
      <c r="K2110" s="118"/>
      <c r="L2110" s="118"/>
      <c r="M2110" s="126"/>
      <c r="N2110" s="126"/>
      <c r="O2110" s="126"/>
      <c r="P2110" s="135"/>
      <c r="Q2110" s="135"/>
    </row>
    <row r="2111" spans="11:17" ht="12.75">
      <c r="K2111" s="118"/>
      <c r="L2111" s="118"/>
      <c r="M2111" s="126"/>
      <c r="N2111" s="126"/>
      <c r="O2111" s="126"/>
      <c r="P2111" s="135"/>
      <c r="Q2111" s="135"/>
    </row>
    <row r="2112" spans="11:17" ht="12.75">
      <c r="K2112" s="118"/>
      <c r="L2112" s="118"/>
      <c r="M2112" s="126"/>
      <c r="N2112" s="126"/>
      <c r="O2112" s="126"/>
      <c r="P2112" s="135"/>
      <c r="Q2112" s="135"/>
    </row>
    <row r="2113" spans="11:17" ht="12.75">
      <c r="K2113" s="118"/>
      <c r="L2113" s="118"/>
      <c r="M2113" s="126"/>
      <c r="N2113" s="126"/>
      <c r="O2113" s="126"/>
      <c r="P2113" s="135"/>
      <c r="Q2113" s="135"/>
    </row>
    <row r="2114" spans="11:17" ht="12.75">
      <c r="K2114" s="118"/>
      <c r="L2114" s="118"/>
      <c r="M2114" s="126"/>
      <c r="N2114" s="126"/>
      <c r="O2114" s="126"/>
      <c r="P2114" s="135"/>
      <c r="Q2114" s="135"/>
    </row>
    <row r="2115" spans="11:17" ht="12.75">
      <c r="K2115" s="118"/>
      <c r="L2115" s="118"/>
      <c r="M2115" s="126"/>
      <c r="N2115" s="126"/>
      <c r="O2115" s="126"/>
      <c r="P2115" s="135"/>
      <c r="Q2115" s="135"/>
    </row>
    <row r="2116" spans="11:17" ht="12.75">
      <c r="K2116" s="118"/>
      <c r="L2116" s="118"/>
      <c r="M2116" s="126"/>
      <c r="N2116" s="126"/>
      <c r="O2116" s="126"/>
      <c r="P2116" s="135"/>
      <c r="Q2116" s="135"/>
    </row>
    <row r="2117" spans="11:17" ht="12.75">
      <c r="K2117" s="118"/>
      <c r="L2117" s="118"/>
      <c r="M2117" s="126"/>
      <c r="N2117" s="126"/>
      <c r="O2117" s="126"/>
      <c r="P2117" s="135"/>
      <c r="Q2117" s="135"/>
    </row>
    <row r="2118" spans="11:17" ht="12.75">
      <c r="K2118" s="118"/>
      <c r="L2118" s="118"/>
      <c r="M2118" s="126"/>
      <c r="N2118" s="126"/>
      <c r="O2118" s="126"/>
      <c r="P2118" s="135"/>
      <c r="Q2118" s="135"/>
    </row>
    <row r="2119" spans="11:17" ht="12.75">
      <c r="K2119" s="118"/>
      <c r="L2119" s="118"/>
      <c r="M2119" s="126"/>
      <c r="N2119" s="126"/>
      <c r="O2119" s="126"/>
      <c r="P2119" s="135"/>
      <c r="Q2119" s="135"/>
    </row>
    <row r="2120" spans="11:17" ht="12.75">
      <c r="K2120" s="118"/>
      <c r="L2120" s="118"/>
      <c r="M2120" s="126"/>
      <c r="N2120" s="126"/>
      <c r="O2120" s="126"/>
      <c r="P2120" s="135"/>
      <c r="Q2120" s="135"/>
    </row>
    <row r="2121" spans="11:17" ht="12.75">
      <c r="K2121" s="118"/>
      <c r="L2121" s="118"/>
      <c r="M2121" s="126"/>
      <c r="N2121" s="126"/>
      <c r="O2121" s="126"/>
      <c r="P2121" s="135"/>
      <c r="Q2121" s="135"/>
    </row>
    <row r="2122" spans="11:17" ht="12.75">
      <c r="K2122" s="118"/>
      <c r="L2122" s="118"/>
      <c r="M2122" s="126"/>
      <c r="N2122" s="126"/>
      <c r="O2122" s="126"/>
      <c r="P2122" s="135"/>
      <c r="Q2122" s="135"/>
    </row>
    <row r="2123" spans="11:17" ht="12.75">
      <c r="K2123" s="118"/>
      <c r="L2123" s="118"/>
      <c r="M2123" s="126"/>
      <c r="N2123" s="126"/>
      <c r="O2123" s="126"/>
      <c r="P2123" s="135"/>
      <c r="Q2123" s="135"/>
    </row>
    <row r="2124" spans="11:17" ht="12.75">
      <c r="K2124" s="118"/>
      <c r="L2124" s="118"/>
      <c r="M2124" s="126"/>
      <c r="N2124" s="126"/>
      <c r="O2124" s="126"/>
      <c r="P2124" s="135"/>
      <c r="Q2124" s="135"/>
    </row>
    <row r="2125" spans="11:17" ht="12.75">
      <c r="K2125" s="118"/>
      <c r="L2125" s="118"/>
      <c r="M2125" s="126"/>
      <c r="N2125" s="126"/>
      <c r="O2125" s="126"/>
      <c r="P2125" s="135"/>
      <c r="Q2125" s="135"/>
    </row>
    <row r="2126" spans="11:17" ht="12.75">
      <c r="K2126" s="118"/>
      <c r="L2126" s="118"/>
      <c r="M2126" s="126"/>
      <c r="N2126" s="126"/>
      <c r="O2126" s="126"/>
      <c r="P2126" s="135"/>
      <c r="Q2126" s="135"/>
    </row>
    <row r="2127" spans="11:17" ht="12.75">
      <c r="K2127" s="118"/>
      <c r="L2127" s="118"/>
      <c r="M2127" s="126"/>
      <c r="N2127" s="126"/>
      <c r="O2127" s="126"/>
      <c r="P2127" s="135"/>
      <c r="Q2127" s="135"/>
    </row>
    <row r="2128" spans="11:17" ht="12.75">
      <c r="K2128" s="118"/>
      <c r="L2128" s="118"/>
      <c r="M2128" s="126"/>
      <c r="N2128" s="126"/>
      <c r="O2128" s="126"/>
      <c r="P2128" s="135"/>
      <c r="Q2128" s="135"/>
    </row>
    <row r="2129" spans="11:17" ht="12.75">
      <c r="K2129" s="118"/>
      <c r="L2129" s="118"/>
      <c r="M2129" s="126"/>
      <c r="N2129" s="126"/>
      <c r="O2129" s="126"/>
      <c r="P2129" s="135"/>
      <c r="Q2129" s="135"/>
    </row>
    <row r="2130" spans="11:17" ht="12.75">
      <c r="K2130" s="118"/>
      <c r="L2130" s="118"/>
      <c r="M2130" s="126"/>
      <c r="N2130" s="126"/>
      <c r="O2130" s="126"/>
      <c r="P2130" s="135"/>
      <c r="Q2130" s="135"/>
    </row>
    <row r="2131" spans="11:17" ht="12.75">
      <c r="K2131" s="118"/>
      <c r="L2131" s="118"/>
      <c r="M2131" s="126"/>
      <c r="N2131" s="126"/>
      <c r="O2131" s="126"/>
      <c r="P2131" s="135"/>
      <c r="Q2131" s="135"/>
    </row>
    <row r="2132" spans="11:17" ht="12.75">
      <c r="K2132" s="118"/>
      <c r="L2132" s="118"/>
      <c r="M2132" s="126"/>
      <c r="N2132" s="126"/>
      <c r="O2132" s="126"/>
      <c r="P2132" s="135"/>
      <c r="Q2132" s="135"/>
    </row>
    <row r="2133" spans="11:17" ht="12.75">
      <c r="K2133" s="118"/>
      <c r="L2133" s="118"/>
      <c r="M2133" s="126"/>
      <c r="N2133" s="126"/>
      <c r="O2133" s="126"/>
      <c r="P2133" s="135"/>
      <c r="Q2133" s="135"/>
    </row>
    <row r="2134" spans="11:17" ht="12.75">
      <c r="K2134" s="118"/>
      <c r="L2134" s="118"/>
      <c r="M2134" s="126"/>
      <c r="N2134" s="126"/>
      <c r="O2134" s="126"/>
      <c r="P2134" s="135"/>
      <c r="Q2134" s="135"/>
    </row>
    <row r="2135" spans="11:17" ht="12.75">
      <c r="K2135" s="118"/>
      <c r="L2135" s="118"/>
      <c r="M2135" s="126"/>
      <c r="N2135" s="126"/>
      <c r="O2135" s="126"/>
      <c r="P2135" s="135"/>
      <c r="Q2135" s="135"/>
    </row>
    <row r="2136" spans="11:17" ht="12.75">
      <c r="K2136" s="118"/>
      <c r="L2136" s="118"/>
      <c r="M2136" s="126"/>
      <c r="N2136" s="126"/>
      <c r="O2136" s="126"/>
      <c r="P2136" s="135"/>
      <c r="Q2136" s="135"/>
    </row>
    <row r="2137" spans="11:17" ht="12.75">
      <c r="K2137" s="118"/>
      <c r="L2137" s="118"/>
      <c r="M2137" s="126"/>
      <c r="N2137" s="126"/>
      <c r="O2137" s="126"/>
      <c r="P2137" s="135"/>
      <c r="Q2137" s="135"/>
    </row>
    <row r="2138" spans="11:17" ht="12.75">
      <c r="K2138" s="118"/>
      <c r="L2138" s="118"/>
      <c r="M2138" s="126"/>
      <c r="N2138" s="126"/>
      <c r="O2138" s="126"/>
      <c r="P2138" s="135"/>
      <c r="Q2138" s="135"/>
    </row>
    <row r="2139" spans="11:17" ht="12.75">
      <c r="K2139" s="118"/>
      <c r="L2139" s="118"/>
      <c r="M2139" s="126"/>
      <c r="N2139" s="126"/>
      <c r="O2139" s="126"/>
      <c r="P2139" s="135"/>
      <c r="Q2139" s="135"/>
    </row>
    <row r="2140" spans="11:17" ht="12.75">
      <c r="K2140" s="118"/>
      <c r="L2140" s="118"/>
      <c r="M2140" s="126"/>
      <c r="N2140" s="126"/>
      <c r="O2140" s="126"/>
      <c r="P2140" s="135"/>
      <c r="Q2140" s="135"/>
    </row>
    <row r="2141" spans="11:17" ht="12.75">
      <c r="K2141" s="118"/>
      <c r="L2141" s="118"/>
      <c r="M2141" s="126"/>
      <c r="N2141" s="126"/>
      <c r="O2141" s="126"/>
      <c r="P2141" s="135"/>
      <c r="Q2141" s="135"/>
    </row>
    <row r="2142" spans="11:17" ht="12.75">
      <c r="K2142" s="118"/>
      <c r="L2142" s="118"/>
      <c r="M2142" s="126"/>
      <c r="N2142" s="126"/>
      <c r="O2142" s="126"/>
      <c r="P2142" s="135"/>
      <c r="Q2142" s="135"/>
    </row>
    <row r="2143" spans="11:17" ht="12.75">
      <c r="K2143" s="118"/>
      <c r="L2143" s="118"/>
      <c r="M2143" s="126"/>
      <c r="N2143" s="126"/>
      <c r="O2143" s="126"/>
      <c r="P2143" s="135"/>
      <c r="Q2143" s="135"/>
    </row>
    <row r="2144" spans="11:17" ht="12.75">
      <c r="K2144" s="118"/>
      <c r="L2144" s="118"/>
      <c r="M2144" s="126"/>
      <c r="N2144" s="126"/>
      <c r="O2144" s="126"/>
      <c r="P2144" s="135"/>
      <c r="Q2144" s="135"/>
    </row>
    <row r="2145" spans="11:17" ht="12.75">
      <c r="K2145" s="118"/>
      <c r="L2145" s="118"/>
      <c r="M2145" s="126"/>
      <c r="N2145" s="126"/>
      <c r="O2145" s="126"/>
      <c r="P2145" s="135"/>
      <c r="Q2145" s="135"/>
    </row>
    <row r="2146" spans="11:17" ht="12.75">
      <c r="K2146" s="118"/>
      <c r="L2146" s="118"/>
      <c r="M2146" s="126"/>
      <c r="N2146" s="126"/>
      <c r="O2146" s="126"/>
      <c r="P2146" s="135"/>
      <c r="Q2146" s="135"/>
    </row>
    <row r="2147" spans="11:17" ht="12.75">
      <c r="K2147" s="118"/>
      <c r="L2147" s="118"/>
      <c r="M2147" s="126"/>
      <c r="N2147" s="126"/>
      <c r="O2147" s="126"/>
      <c r="P2147" s="135"/>
      <c r="Q2147" s="135"/>
    </row>
    <row r="2148" spans="11:17" ht="12.75">
      <c r="K2148" s="118"/>
      <c r="L2148" s="118"/>
      <c r="M2148" s="126"/>
      <c r="N2148" s="126"/>
      <c r="O2148" s="126"/>
      <c r="P2148" s="135"/>
      <c r="Q2148" s="135"/>
    </row>
    <row r="2149" spans="11:17" ht="12.75">
      <c r="K2149" s="118"/>
      <c r="L2149" s="118"/>
      <c r="M2149" s="126"/>
      <c r="N2149" s="126"/>
      <c r="O2149" s="126"/>
      <c r="P2149" s="135"/>
      <c r="Q2149" s="135"/>
    </row>
    <row r="2150" spans="11:17" ht="12.75">
      <c r="K2150" s="118"/>
      <c r="L2150" s="118"/>
      <c r="M2150" s="126"/>
      <c r="N2150" s="126"/>
      <c r="O2150" s="126"/>
      <c r="P2150" s="135"/>
      <c r="Q2150" s="135"/>
    </row>
    <row r="2151" spans="11:17" ht="12.75">
      <c r="K2151" s="118"/>
      <c r="L2151" s="118"/>
      <c r="M2151" s="126"/>
      <c r="N2151" s="126"/>
      <c r="O2151" s="126"/>
      <c r="P2151" s="135"/>
      <c r="Q2151" s="135"/>
    </row>
    <row r="2152" spans="11:17" ht="12.75">
      <c r="K2152" s="118"/>
      <c r="L2152" s="118"/>
      <c r="M2152" s="126"/>
      <c r="N2152" s="126"/>
      <c r="O2152" s="126"/>
      <c r="P2152" s="135"/>
      <c r="Q2152" s="135"/>
    </row>
    <row r="2153" spans="11:17" ht="12.75">
      <c r="K2153" s="118"/>
      <c r="L2153" s="118"/>
      <c r="M2153" s="126"/>
      <c r="N2153" s="126"/>
      <c r="O2153" s="126"/>
      <c r="P2153" s="135"/>
      <c r="Q2153" s="135"/>
    </row>
    <row r="2154" spans="11:17" ht="12.75">
      <c r="K2154" s="118"/>
      <c r="L2154" s="118"/>
      <c r="M2154" s="126"/>
      <c r="N2154" s="126"/>
      <c r="O2154" s="126"/>
      <c r="P2154" s="135"/>
      <c r="Q2154" s="135"/>
    </row>
    <row r="2155" spans="11:17" ht="12.75">
      <c r="K2155" s="118"/>
      <c r="L2155" s="118"/>
      <c r="M2155" s="126"/>
      <c r="N2155" s="126"/>
      <c r="O2155" s="126"/>
      <c r="P2155" s="135"/>
      <c r="Q2155" s="135"/>
    </row>
    <row r="2156" spans="11:17" ht="12.75">
      <c r="K2156" s="118"/>
      <c r="L2156" s="118"/>
      <c r="M2156" s="126"/>
      <c r="N2156" s="126"/>
      <c r="O2156" s="126"/>
      <c r="P2156" s="135"/>
      <c r="Q2156" s="135"/>
    </row>
    <row r="2157" spans="11:17" ht="12.75">
      <c r="K2157" s="118"/>
      <c r="L2157" s="118"/>
      <c r="M2157" s="126"/>
      <c r="N2157" s="126"/>
      <c r="O2157" s="126"/>
      <c r="P2157" s="135"/>
      <c r="Q2157" s="135"/>
    </row>
    <row r="2158" spans="11:17" ht="12.75">
      <c r="K2158" s="118"/>
      <c r="L2158" s="118"/>
      <c r="M2158" s="126"/>
      <c r="N2158" s="126"/>
      <c r="O2158" s="126"/>
      <c r="P2158" s="135"/>
      <c r="Q2158" s="135"/>
    </row>
    <row r="2159" spans="11:17" ht="12.75">
      <c r="K2159" s="118"/>
      <c r="L2159" s="118"/>
      <c r="M2159" s="126"/>
      <c r="N2159" s="126"/>
      <c r="O2159" s="126"/>
      <c r="P2159" s="135"/>
      <c r="Q2159" s="135"/>
    </row>
    <row r="2160" spans="11:17" ht="12.75">
      <c r="K2160" s="118"/>
      <c r="L2160" s="118"/>
      <c r="M2160" s="126"/>
      <c r="N2160" s="126"/>
      <c r="O2160" s="126"/>
      <c r="P2160" s="135"/>
      <c r="Q2160" s="135"/>
    </row>
    <row r="2161" spans="11:17" ht="12.75">
      <c r="K2161" s="118"/>
      <c r="L2161" s="118"/>
      <c r="M2161" s="126"/>
      <c r="N2161" s="126"/>
      <c r="O2161" s="126"/>
      <c r="P2161" s="135"/>
      <c r="Q2161" s="135"/>
    </row>
    <row r="2162" spans="11:17" ht="12.75">
      <c r="K2162" s="118"/>
      <c r="L2162" s="118"/>
      <c r="M2162" s="126"/>
      <c r="N2162" s="126"/>
      <c r="O2162" s="126"/>
      <c r="P2162" s="135"/>
      <c r="Q2162" s="135"/>
    </row>
    <row r="2163" spans="11:17" ht="12.75">
      <c r="K2163" s="118"/>
      <c r="L2163" s="118"/>
      <c r="M2163" s="126"/>
      <c r="N2163" s="126"/>
      <c r="O2163" s="126"/>
      <c r="P2163" s="135"/>
      <c r="Q2163" s="135"/>
    </row>
    <row r="2164" spans="11:17" ht="12.75">
      <c r="K2164" s="118"/>
      <c r="L2164" s="118"/>
      <c r="M2164" s="126"/>
      <c r="N2164" s="126"/>
      <c r="O2164" s="126"/>
      <c r="P2164" s="135"/>
      <c r="Q2164" s="135"/>
    </row>
    <row r="2165" spans="11:17" ht="12.75">
      <c r="K2165" s="118"/>
      <c r="L2165" s="118"/>
      <c r="M2165" s="126"/>
      <c r="N2165" s="126"/>
      <c r="O2165" s="126"/>
      <c r="P2165" s="135"/>
      <c r="Q2165" s="135"/>
    </row>
    <row r="2166" spans="11:17" ht="12.75">
      <c r="K2166" s="118"/>
      <c r="L2166" s="118"/>
      <c r="M2166" s="126"/>
      <c r="N2166" s="126"/>
      <c r="O2166" s="126"/>
      <c r="P2166" s="135"/>
      <c r="Q2166" s="135"/>
    </row>
    <row r="2167" spans="11:17" ht="12.75">
      <c r="K2167" s="118"/>
      <c r="L2167" s="118"/>
      <c r="M2167" s="126"/>
      <c r="N2167" s="126"/>
      <c r="O2167" s="126"/>
      <c r="P2167" s="135"/>
      <c r="Q2167" s="135"/>
    </row>
    <row r="2168" spans="11:17" ht="12.75">
      <c r="K2168" s="118"/>
      <c r="L2168" s="118"/>
      <c r="M2168" s="126"/>
      <c r="N2168" s="126"/>
      <c r="O2168" s="126"/>
      <c r="P2168" s="135"/>
      <c r="Q2168" s="135"/>
    </row>
    <row r="2169" spans="11:17" ht="12.75">
      <c r="K2169" s="118"/>
      <c r="L2169" s="118"/>
      <c r="M2169" s="126"/>
      <c r="N2169" s="126"/>
      <c r="O2169" s="126"/>
      <c r="P2169" s="135"/>
      <c r="Q2169" s="135"/>
    </row>
    <row r="2170" spans="11:17" ht="12.75">
      <c r="K2170" s="118"/>
      <c r="L2170" s="118"/>
      <c r="M2170" s="126"/>
      <c r="N2170" s="126"/>
      <c r="O2170" s="126"/>
      <c r="P2170" s="135"/>
      <c r="Q2170" s="135"/>
    </row>
    <row r="2171" spans="11:17" ht="12.75">
      <c r="K2171" s="118"/>
      <c r="L2171" s="118"/>
      <c r="M2171" s="126"/>
      <c r="N2171" s="126"/>
      <c r="O2171" s="126"/>
      <c r="P2171" s="135"/>
      <c r="Q2171" s="135"/>
    </row>
    <row r="2172" spans="11:17" ht="12.75">
      <c r="K2172" s="118"/>
      <c r="L2172" s="118"/>
      <c r="M2172" s="126"/>
      <c r="N2172" s="126"/>
      <c r="O2172" s="126"/>
      <c r="P2172" s="135"/>
      <c r="Q2172" s="135"/>
    </row>
    <row r="2173" spans="11:17" ht="12.75">
      <c r="K2173" s="118"/>
      <c r="L2173" s="118"/>
      <c r="M2173" s="126"/>
      <c r="N2173" s="126"/>
      <c r="O2173" s="126"/>
      <c r="P2173" s="135"/>
      <c r="Q2173" s="135"/>
    </row>
    <row r="2174" spans="11:17" ht="12.75">
      <c r="K2174" s="118"/>
      <c r="L2174" s="118"/>
      <c r="M2174" s="126"/>
      <c r="N2174" s="126"/>
      <c r="O2174" s="126"/>
      <c r="P2174" s="135"/>
      <c r="Q2174" s="135"/>
    </row>
    <row r="2175" spans="11:17" ht="12.75">
      <c r="K2175" s="118"/>
      <c r="L2175" s="118"/>
      <c r="M2175" s="126"/>
      <c r="N2175" s="126"/>
      <c r="O2175" s="126"/>
      <c r="P2175" s="135"/>
      <c r="Q2175" s="135"/>
    </row>
    <row r="2176" spans="11:17" ht="12.75">
      <c r="K2176" s="118"/>
      <c r="L2176" s="118"/>
      <c r="M2176" s="126"/>
      <c r="N2176" s="126"/>
      <c r="O2176" s="126"/>
      <c r="P2176" s="135"/>
      <c r="Q2176" s="135"/>
    </row>
    <row r="2177" spans="11:17" ht="12.75">
      <c r="K2177" s="118"/>
      <c r="L2177" s="118"/>
      <c r="M2177" s="126"/>
      <c r="N2177" s="126"/>
      <c r="O2177" s="126"/>
      <c r="P2177" s="135"/>
      <c r="Q2177" s="135"/>
    </row>
    <row r="2178" spans="11:17" ht="12.75">
      <c r="K2178" s="118"/>
      <c r="L2178" s="118"/>
      <c r="M2178" s="126"/>
      <c r="N2178" s="126"/>
      <c r="O2178" s="126"/>
      <c r="P2178" s="135"/>
      <c r="Q2178" s="135"/>
    </row>
    <row r="2179" spans="11:17" ht="12.75">
      <c r="K2179" s="118"/>
      <c r="L2179" s="118"/>
      <c r="M2179" s="126"/>
      <c r="N2179" s="126"/>
      <c r="O2179" s="126"/>
      <c r="P2179" s="135"/>
      <c r="Q2179" s="135"/>
    </row>
    <row r="2180" spans="11:17" ht="12.75">
      <c r="K2180" s="118"/>
      <c r="L2180" s="118"/>
      <c r="M2180" s="126"/>
      <c r="N2180" s="126"/>
      <c r="O2180" s="126"/>
      <c r="P2180" s="135"/>
      <c r="Q2180" s="135"/>
    </row>
    <row r="2181" spans="11:17" ht="12.75">
      <c r="K2181" s="118"/>
      <c r="L2181" s="118"/>
      <c r="M2181" s="126"/>
      <c r="N2181" s="126"/>
      <c r="O2181" s="126"/>
      <c r="P2181" s="135"/>
      <c r="Q2181" s="135"/>
    </row>
    <row r="2182" spans="11:17" ht="12.75">
      <c r="K2182" s="118"/>
      <c r="L2182" s="118"/>
      <c r="M2182" s="126"/>
      <c r="N2182" s="126"/>
      <c r="O2182" s="126"/>
      <c r="P2182" s="135"/>
      <c r="Q2182" s="135"/>
    </row>
    <row r="2183" spans="11:17" ht="12.75">
      <c r="K2183" s="118"/>
      <c r="L2183" s="118"/>
      <c r="M2183" s="126"/>
      <c r="N2183" s="126"/>
      <c r="O2183" s="126"/>
      <c r="P2183" s="135"/>
      <c r="Q2183" s="135"/>
    </row>
    <row r="2184" spans="11:17" ht="12.75">
      <c r="K2184" s="118"/>
      <c r="L2184" s="118"/>
      <c r="M2184" s="126"/>
      <c r="N2184" s="126"/>
      <c r="O2184" s="126"/>
      <c r="P2184" s="135"/>
      <c r="Q2184" s="135"/>
    </row>
    <row r="2185" spans="11:17" ht="12.75">
      <c r="K2185" s="118"/>
      <c r="L2185" s="118"/>
      <c r="M2185" s="126"/>
      <c r="N2185" s="126"/>
      <c r="O2185" s="126"/>
      <c r="P2185" s="135"/>
      <c r="Q2185" s="135"/>
    </row>
    <row r="2186" spans="11:17" ht="12.75">
      <c r="K2186" s="118"/>
      <c r="L2186" s="118"/>
      <c r="M2186" s="126"/>
      <c r="N2186" s="126"/>
      <c r="O2186" s="126"/>
      <c r="P2186" s="135"/>
      <c r="Q2186" s="135"/>
    </row>
    <row r="2187" spans="11:17" ht="12.75">
      <c r="K2187" s="118"/>
      <c r="L2187" s="118"/>
      <c r="M2187" s="126"/>
      <c r="N2187" s="126"/>
      <c r="O2187" s="126"/>
      <c r="P2187" s="135"/>
      <c r="Q2187" s="135"/>
    </row>
    <row r="2188" spans="11:17" ht="12.75">
      <c r="K2188" s="118"/>
      <c r="L2188" s="118"/>
      <c r="M2188" s="126"/>
      <c r="N2188" s="126"/>
      <c r="O2188" s="126"/>
      <c r="P2188" s="135"/>
      <c r="Q2188" s="135"/>
    </row>
    <row r="2189" spans="11:17" ht="12.75">
      <c r="K2189" s="118"/>
      <c r="L2189" s="118"/>
      <c r="M2189" s="126"/>
      <c r="N2189" s="126"/>
      <c r="O2189" s="126"/>
      <c r="P2189" s="135"/>
      <c r="Q2189" s="135"/>
    </row>
    <row r="2190" spans="11:17" ht="12.75">
      <c r="K2190" s="118"/>
      <c r="L2190" s="118"/>
      <c r="M2190" s="126"/>
      <c r="N2190" s="126"/>
      <c r="O2190" s="126"/>
      <c r="P2190" s="135"/>
      <c r="Q2190" s="135"/>
    </row>
    <row r="2191" spans="11:17" ht="12.75">
      <c r="K2191" s="118"/>
      <c r="L2191" s="118"/>
      <c r="M2191" s="126"/>
      <c r="N2191" s="126"/>
      <c r="O2191" s="126"/>
      <c r="P2191" s="135"/>
      <c r="Q2191" s="135"/>
    </row>
    <row r="2192" spans="11:17" ht="12.75">
      <c r="K2192" s="118"/>
      <c r="L2192" s="118"/>
      <c r="M2192" s="126"/>
      <c r="N2192" s="126"/>
      <c r="O2192" s="126"/>
      <c r="P2192" s="135"/>
      <c r="Q2192" s="135"/>
    </row>
    <row r="2193" spans="11:17" ht="12.75">
      <c r="K2193" s="118"/>
      <c r="L2193" s="118"/>
      <c r="M2193" s="126"/>
      <c r="N2193" s="126"/>
      <c r="O2193" s="126"/>
      <c r="P2193" s="135"/>
      <c r="Q2193" s="135"/>
    </row>
    <row r="2194" spans="11:17" ht="12.75">
      <c r="K2194" s="118"/>
      <c r="L2194" s="118"/>
      <c r="M2194" s="126"/>
      <c r="N2194" s="126"/>
      <c r="O2194" s="126"/>
      <c r="P2194" s="135"/>
      <c r="Q2194" s="135"/>
    </row>
    <row r="2195" spans="11:17" ht="12.75">
      <c r="K2195" s="118"/>
      <c r="L2195" s="118"/>
      <c r="M2195" s="126"/>
      <c r="N2195" s="126"/>
      <c r="O2195" s="126"/>
      <c r="P2195" s="135"/>
      <c r="Q2195" s="135"/>
    </row>
    <row r="2196" spans="11:17" ht="12.75">
      <c r="K2196" s="118"/>
      <c r="L2196" s="118"/>
      <c r="M2196" s="126"/>
      <c r="N2196" s="126"/>
      <c r="O2196" s="126"/>
      <c r="P2196" s="135"/>
      <c r="Q2196" s="135"/>
    </row>
    <row r="2197" spans="11:17" ht="12.75">
      <c r="K2197" s="118"/>
      <c r="L2197" s="118"/>
      <c r="M2197" s="126"/>
      <c r="N2197" s="126"/>
      <c r="O2197" s="126"/>
      <c r="P2197" s="135"/>
      <c r="Q2197" s="135"/>
    </row>
    <row r="2198" spans="11:17" ht="12.75">
      <c r="K2198" s="118"/>
      <c r="L2198" s="118"/>
      <c r="M2198" s="126"/>
      <c r="N2198" s="126"/>
      <c r="O2198" s="126"/>
      <c r="P2198" s="135"/>
      <c r="Q2198" s="135"/>
    </row>
    <row r="2199" spans="11:17" ht="12.75">
      <c r="K2199" s="118"/>
      <c r="L2199" s="118"/>
      <c r="M2199" s="126"/>
      <c r="N2199" s="126"/>
      <c r="O2199" s="126"/>
      <c r="P2199" s="135"/>
      <c r="Q2199" s="135"/>
    </row>
    <row r="2200" spans="11:17" ht="12.75">
      <c r="K2200" s="118"/>
      <c r="L2200" s="118"/>
      <c r="M2200" s="126"/>
      <c r="N2200" s="126"/>
      <c r="O2200" s="126"/>
      <c r="P2200" s="135"/>
      <c r="Q2200" s="135"/>
    </row>
    <row r="2201" spans="11:17" ht="12.75">
      <c r="K2201" s="118"/>
      <c r="L2201" s="118"/>
      <c r="M2201" s="126"/>
      <c r="N2201" s="126"/>
      <c r="O2201" s="126"/>
      <c r="P2201" s="135"/>
      <c r="Q2201" s="135"/>
    </row>
    <row r="2202" spans="11:17" ht="12.75">
      <c r="K2202" s="118"/>
      <c r="L2202" s="118"/>
      <c r="M2202" s="126"/>
      <c r="N2202" s="126"/>
      <c r="O2202" s="126"/>
      <c r="P2202" s="135"/>
      <c r="Q2202" s="135"/>
    </row>
    <row r="2203" spans="11:17" ht="12.75">
      <c r="K2203" s="118"/>
      <c r="L2203" s="118"/>
      <c r="M2203" s="126"/>
      <c r="N2203" s="126"/>
      <c r="O2203" s="126"/>
      <c r="P2203" s="135"/>
      <c r="Q2203" s="135"/>
    </row>
    <row r="2204" spans="11:17" ht="12.75">
      <c r="K2204" s="118"/>
      <c r="L2204" s="118"/>
      <c r="M2204" s="126"/>
      <c r="N2204" s="126"/>
      <c r="O2204" s="126"/>
      <c r="P2204" s="135"/>
      <c r="Q2204" s="135"/>
    </row>
    <row r="2205" spans="11:17" ht="12.75">
      <c r="K2205" s="118"/>
      <c r="L2205" s="118"/>
      <c r="M2205" s="126"/>
      <c r="N2205" s="126"/>
      <c r="O2205" s="126"/>
      <c r="P2205" s="135"/>
      <c r="Q2205" s="135"/>
    </row>
    <row r="2206" spans="11:17" ht="12.75">
      <c r="K2206" s="118"/>
      <c r="L2206" s="118"/>
      <c r="M2206" s="126"/>
      <c r="N2206" s="126"/>
      <c r="O2206" s="126"/>
      <c r="P2206" s="135"/>
      <c r="Q2206" s="135"/>
    </row>
    <row r="2207" spans="11:17" ht="12.75">
      <c r="K2207" s="118"/>
      <c r="L2207" s="118"/>
      <c r="M2207" s="126"/>
      <c r="N2207" s="126"/>
      <c r="O2207" s="126"/>
      <c r="P2207" s="135"/>
      <c r="Q2207" s="135"/>
    </row>
    <row r="2208" spans="11:17" ht="12.75">
      <c r="K2208" s="118"/>
      <c r="L2208" s="118"/>
      <c r="M2208" s="126"/>
      <c r="N2208" s="126"/>
      <c r="O2208" s="126"/>
      <c r="P2208" s="135"/>
      <c r="Q2208" s="135"/>
    </row>
    <row r="2209" spans="11:17" ht="12.75">
      <c r="K2209" s="118"/>
      <c r="L2209" s="118"/>
      <c r="M2209" s="126"/>
      <c r="N2209" s="126"/>
      <c r="O2209" s="126"/>
      <c r="P2209" s="135"/>
      <c r="Q2209" s="135"/>
    </row>
    <row r="2210" spans="11:17" ht="12.75">
      <c r="K2210" s="118"/>
      <c r="L2210" s="118"/>
      <c r="M2210" s="126"/>
      <c r="N2210" s="126"/>
      <c r="O2210" s="126"/>
      <c r="P2210" s="135"/>
      <c r="Q2210" s="135"/>
    </row>
    <row r="2211" spans="11:17" ht="12.75">
      <c r="K2211" s="118"/>
      <c r="L2211" s="118"/>
      <c r="M2211" s="126"/>
      <c r="N2211" s="126"/>
      <c r="O2211" s="126"/>
      <c r="P2211" s="135"/>
      <c r="Q2211" s="135"/>
    </row>
    <row r="2212" spans="11:17" ht="12.75">
      <c r="K2212" s="118"/>
      <c r="L2212" s="118"/>
      <c r="M2212" s="126"/>
      <c r="N2212" s="126"/>
      <c r="O2212" s="126"/>
      <c r="P2212" s="135"/>
      <c r="Q2212" s="135"/>
    </row>
    <row r="2213" spans="11:17" ht="12.75">
      <c r="K2213" s="118"/>
      <c r="L2213" s="118"/>
      <c r="M2213" s="126"/>
      <c r="N2213" s="126"/>
      <c r="O2213" s="126"/>
      <c r="P2213" s="135"/>
      <c r="Q2213" s="135"/>
    </row>
    <row r="2214" spans="11:17" ht="12.75">
      <c r="K2214" s="118"/>
      <c r="L2214" s="118"/>
      <c r="M2214" s="126"/>
      <c r="N2214" s="126"/>
      <c r="O2214" s="126"/>
      <c r="P2214" s="135"/>
      <c r="Q2214" s="135"/>
    </row>
    <row r="2215" spans="11:17" ht="12.75">
      <c r="K2215" s="118"/>
      <c r="L2215" s="118"/>
      <c r="M2215" s="126"/>
      <c r="N2215" s="126"/>
      <c r="O2215" s="126"/>
      <c r="P2215" s="135"/>
      <c r="Q2215" s="135"/>
    </row>
    <row r="2216" spans="11:17" ht="12.75">
      <c r="K2216" s="118"/>
      <c r="L2216" s="118"/>
      <c r="M2216" s="126"/>
      <c r="N2216" s="126"/>
      <c r="O2216" s="126"/>
      <c r="P2216" s="135"/>
      <c r="Q2216" s="135"/>
    </row>
    <row r="2217" spans="11:17" ht="12.75">
      <c r="K2217" s="118"/>
      <c r="L2217" s="118"/>
      <c r="M2217" s="126"/>
      <c r="N2217" s="126"/>
      <c r="O2217" s="126"/>
      <c r="P2217" s="135"/>
      <c r="Q2217" s="135"/>
    </row>
    <row r="2218" spans="11:17" ht="12.75">
      <c r="K2218" s="118"/>
      <c r="L2218" s="118"/>
      <c r="M2218" s="126"/>
      <c r="N2218" s="126"/>
      <c r="O2218" s="126"/>
      <c r="P2218" s="135"/>
      <c r="Q2218" s="135"/>
    </row>
    <row r="2219" spans="11:17" ht="12.75">
      <c r="K2219" s="118"/>
      <c r="L2219" s="118"/>
      <c r="M2219" s="126"/>
      <c r="N2219" s="126"/>
      <c r="O2219" s="126"/>
      <c r="P2219" s="135"/>
      <c r="Q2219" s="135"/>
    </row>
    <row r="2220" spans="11:17" ht="12.75">
      <c r="K2220" s="118"/>
      <c r="L2220" s="118"/>
      <c r="M2220" s="126"/>
      <c r="N2220" s="126"/>
      <c r="O2220" s="126"/>
      <c r="P2220" s="135"/>
      <c r="Q2220" s="135"/>
    </row>
    <row r="2221" spans="11:17" ht="12.75">
      <c r="K2221" s="118"/>
      <c r="L2221" s="118"/>
      <c r="M2221" s="126"/>
      <c r="N2221" s="126"/>
      <c r="O2221" s="126"/>
      <c r="P2221" s="135"/>
      <c r="Q2221" s="135"/>
    </row>
    <row r="2222" spans="11:17" ht="12.75">
      <c r="K2222" s="118"/>
      <c r="L2222" s="118"/>
      <c r="M2222" s="126"/>
      <c r="N2222" s="126"/>
      <c r="O2222" s="126"/>
      <c r="P2222" s="135"/>
      <c r="Q2222" s="135"/>
    </row>
    <row r="2223" spans="11:17" ht="12.75">
      <c r="K2223" s="118"/>
      <c r="L2223" s="118"/>
      <c r="M2223" s="126"/>
      <c r="N2223" s="126"/>
      <c r="O2223" s="126"/>
      <c r="P2223" s="135"/>
      <c r="Q2223" s="135"/>
    </row>
    <row r="2224" spans="11:17" ht="12.75">
      <c r="K2224" s="118"/>
      <c r="L2224" s="118"/>
      <c r="M2224" s="126"/>
      <c r="N2224" s="126"/>
      <c r="O2224" s="126"/>
      <c r="P2224" s="135"/>
      <c r="Q2224" s="135"/>
    </row>
    <row r="2225" spans="11:17" ht="12.75">
      <c r="K2225" s="118"/>
      <c r="L2225" s="118"/>
      <c r="M2225" s="126"/>
      <c r="N2225" s="126"/>
      <c r="O2225" s="126"/>
      <c r="P2225" s="135"/>
      <c r="Q2225" s="135"/>
    </row>
    <row r="2226" spans="11:17" ht="12.75">
      <c r="K2226" s="118"/>
      <c r="L2226" s="118"/>
      <c r="M2226" s="126"/>
      <c r="N2226" s="126"/>
      <c r="O2226" s="126"/>
      <c r="P2226" s="135"/>
      <c r="Q2226" s="135"/>
    </row>
    <row r="2227" spans="11:17" ht="12.75">
      <c r="K2227" s="118"/>
      <c r="L2227" s="118"/>
      <c r="M2227" s="126"/>
      <c r="N2227" s="126"/>
      <c r="O2227" s="126"/>
      <c r="P2227" s="135"/>
      <c r="Q2227" s="135"/>
    </row>
    <row r="2228" spans="11:17" ht="12.75">
      <c r="K2228" s="118"/>
      <c r="L2228" s="118"/>
      <c r="M2228" s="126"/>
      <c r="N2228" s="126"/>
      <c r="O2228" s="126"/>
      <c r="P2228" s="135"/>
      <c r="Q2228" s="135"/>
    </row>
    <row r="2229" spans="11:17" ht="12.75">
      <c r="K2229" s="118"/>
      <c r="L2229" s="118"/>
      <c r="M2229" s="126"/>
      <c r="N2229" s="126"/>
      <c r="O2229" s="126"/>
      <c r="P2229" s="135"/>
      <c r="Q2229" s="135"/>
    </row>
    <row r="2230" spans="11:17" ht="12.75">
      <c r="K2230" s="118"/>
      <c r="L2230" s="118"/>
      <c r="M2230" s="126"/>
      <c r="N2230" s="126"/>
      <c r="O2230" s="126"/>
      <c r="P2230" s="135"/>
      <c r="Q2230" s="135"/>
    </row>
    <row r="2231" spans="11:17" ht="12.75">
      <c r="K2231" s="118"/>
      <c r="L2231" s="118"/>
      <c r="M2231" s="126"/>
      <c r="N2231" s="126"/>
      <c r="O2231" s="126"/>
      <c r="P2231" s="135"/>
      <c r="Q2231" s="135"/>
    </row>
    <row r="2232" spans="11:17" ht="12.75">
      <c r="K2232" s="118"/>
      <c r="L2232" s="118"/>
      <c r="M2232" s="126"/>
      <c r="N2232" s="126"/>
      <c r="O2232" s="126"/>
      <c r="P2232" s="135"/>
      <c r="Q2232" s="135"/>
    </row>
    <row r="2233" spans="11:17" ht="12.75">
      <c r="K2233" s="118"/>
      <c r="L2233" s="118"/>
      <c r="M2233" s="126"/>
      <c r="N2233" s="126"/>
      <c r="O2233" s="126"/>
      <c r="P2233" s="135"/>
      <c r="Q2233" s="135"/>
    </row>
    <row r="2234" spans="11:17" ht="12.75">
      <c r="K2234" s="118"/>
      <c r="L2234" s="118"/>
      <c r="M2234" s="126"/>
      <c r="N2234" s="126"/>
      <c r="O2234" s="126"/>
      <c r="P2234" s="135"/>
      <c r="Q2234" s="135"/>
    </row>
    <row r="2235" spans="11:17" ht="12.75">
      <c r="K2235" s="118"/>
      <c r="L2235" s="118"/>
      <c r="M2235" s="126"/>
      <c r="N2235" s="126"/>
      <c r="O2235" s="126"/>
      <c r="P2235" s="135"/>
      <c r="Q2235" s="135"/>
    </row>
    <row r="2236" spans="11:17" ht="12.75">
      <c r="K2236" s="118"/>
      <c r="L2236" s="118"/>
      <c r="M2236" s="126"/>
      <c r="N2236" s="126"/>
      <c r="O2236" s="126"/>
      <c r="P2236" s="135"/>
      <c r="Q2236" s="135"/>
    </row>
    <row r="2237" spans="11:17" ht="12.75">
      <c r="K2237" s="118"/>
      <c r="L2237" s="118"/>
      <c r="M2237" s="126"/>
      <c r="N2237" s="126"/>
      <c r="O2237" s="126"/>
      <c r="P2237" s="135"/>
      <c r="Q2237" s="135"/>
    </row>
    <row r="2238" spans="11:17" ht="12.75">
      <c r="K2238" s="118"/>
      <c r="L2238" s="118"/>
      <c r="M2238" s="126"/>
      <c r="N2238" s="126"/>
      <c r="O2238" s="126"/>
      <c r="P2238" s="135"/>
      <c r="Q2238" s="135"/>
    </row>
    <row r="2239" spans="11:17" ht="12.75">
      <c r="K2239" s="118"/>
      <c r="L2239" s="118"/>
      <c r="M2239" s="126"/>
      <c r="N2239" s="126"/>
      <c r="O2239" s="126"/>
      <c r="P2239" s="135"/>
      <c r="Q2239" s="135"/>
    </row>
    <row r="2240" spans="11:17" ht="12.75">
      <c r="K2240" s="118"/>
      <c r="L2240" s="118"/>
      <c r="M2240" s="126"/>
      <c r="N2240" s="126"/>
      <c r="O2240" s="126"/>
      <c r="P2240" s="135"/>
      <c r="Q2240" s="135"/>
    </row>
    <row r="2241" spans="11:17" ht="12.75">
      <c r="K2241" s="118"/>
      <c r="L2241" s="118"/>
      <c r="M2241" s="126"/>
      <c r="N2241" s="126"/>
      <c r="O2241" s="126"/>
      <c r="P2241" s="135"/>
      <c r="Q2241" s="135"/>
    </row>
    <row r="2242" spans="11:17" ht="12.75">
      <c r="K2242" s="118"/>
      <c r="L2242" s="118"/>
      <c r="M2242" s="126"/>
      <c r="N2242" s="126"/>
      <c r="O2242" s="126"/>
      <c r="P2242" s="135"/>
      <c r="Q2242" s="135"/>
    </row>
    <row r="2243" spans="11:17" ht="12.75">
      <c r="K2243" s="118"/>
      <c r="L2243" s="118"/>
      <c r="M2243" s="126"/>
      <c r="N2243" s="126"/>
      <c r="O2243" s="126"/>
      <c r="P2243" s="135"/>
      <c r="Q2243" s="135"/>
    </row>
    <row r="2244" spans="11:17" ht="12.75">
      <c r="K2244" s="118"/>
      <c r="L2244" s="118"/>
      <c r="M2244" s="126"/>
      <c r="N2244" s="126"/>
      <c r="O2244" s="126"/>
      <c r="P2244" s="135"/>
      <c r="Q2244" s="135"/>
    </row>
    <row r="2245" spans="11:17" ht="12.75">
      <c r="K2245" s="118"/>
      <c r="L2245" s="118"/>
      <c r="M2245" s="126"/>
      <c r="N2245" s="126"/>
      <c r="O2245" s="126"/>
      <c r="P2245" s="135"/>
      <c r="Q2245" s="135"/>
    </row>
    <row r="2246" spans="11:17" ht="12.75">
      <c r="K2246" s="118"/>
      <c r="L2246" s="118"/>
      <c r="M2246" s="126"/>
      <c r="N2246" s="126"/>
      <c r="O2246" s="126"/>
      <c r="P2246" s="135"/>
      <c r="Q2246" s="135"/>
    </row>
    <row r="2247" spans="11:17" ht="12.75">
      <c r="K2247" s="118"/>
      <c r="L2247" s="118"/>
      <c r="M2247" s="126"/>
      <c r="N2247" s="126"/>
      <c r="O2247" s="126"/>
      <c r="P2247" s="135"/>
      <c r="Q2247" s="135"/>
    </row>
    <row r="2248" spans="11:17" ht="12.75">
      <c r="K2248" s="118"/>
      <c r="L2248" s="118"/>
      <c r="M2248" s="126"/>
      <c r="N2248" s="126"/>
      <c r="O2248" s="126"/>
      <c r="P2248" s="135"/>
      <c r="Q2248" s="135"/>
    </row>
    <row r="2249" spans="11:17" ht="12.75">
      <c r="K2249" s="118"/>
      <c r="L2249" s="118"/>
      <c r="M2249" s="126"/>
      <c r="N2249" s="126"/>
      <c r="O2249" s="126"/>
      <c r="P2249" s="135"/>
      <c r="Q2249" s="135"/>
    </row>
    <row r="2250" spans="11:17" ht="12.75">
      <c r="K2250" s="118"/>
      <c r="L2250" s="118"/>
      <c r="M2250" s="126"/>
      <c r="N2250" s="126"/>
      <c r="O2250" s="126"/>
      <c r="P2250" s="135"/>
      <c r="Q2250" s="135"/>
    </row>
    <row r="2251" spans="11:17" ht="12.75">
      <c r="K2251" s="118"/>
      <c r="L2251" s="118"/>
      <c r="M2251" s="126"/>
      <c r="N2251" s="126"/>
      <c r="O2251" s="126"/>
      <c r="P2251" s="135"/>
      <c r="Q2251" s="135"/>
    </row>
    <row r="2252" spans="11:17" ht="12.75">
      <c r="K2252" s="118"/>
      <c r="L2252" s="118"/>
      <c r="M2252" s="126"/>
      <c r="N2252" s="126"/>
      <c r="O2252" s="126"/>
      <c r="P2252" s="135"/>
      <c r="Q2252" s="135"/>
    </row>
    <row r="2253" spans="11:17" ht="12.75">
      <c r="K2253" s="118"/>
      <c r="L2253" s="118"/>
      <c r="M2253" s="126"/>
      <c r="N2253" s="126"/>
      <c r="O2253" s="126"/>
      <c r="P2253" s="135"/>
      <c r="Q2253" s="135"/>
    </row>
    <row r="2254" spans="11:17" ht="12.75">
      <c r="K2254" s="118"/>
      <c r="L2254" s="118"/>
      <c r="M2254" s="126"/>
      <c r="N2254" s="126"/>
      <c r="O2254" s="126"/>
      <c r="P2254" s="135"/>
      <c r="Q2254" s="135"/>
    </row>
    <row r="2255" spans="11:17" ht="12.75">
      <c r="K2255" s="118"/>
      <c r="L2255" s="118"/>
      <c r="M2255" s="126"/>
      <c r="N2255" s="126"/>
      <c r="O2255" s="126"/>
      <c r="P2255" s="135"/>
      <c r="Q2255" s="135"/>
    </row>
    <row r="2256" spans="11:17" ht="12.75">
      <c r="K2256" s="118"/>
      <c r="L2256" s="118"/>
      <c r="M2256" s="126"/>
      <c r="N2256" s="126"/>
      <c r="O2256" s="126"/>
      <c r="P2256" s="135"/>
      <c r="Q2256" s="135"/>
    </row>
    <row r="2257" spans="11:17" ht="12.75">
      <c r="K2257" s="118"/>
      <c r="L2257" s="118"/>
      <c r="M2257" s="126"/>
      <c r="N2257" s="126"/>
      <c r="O2257" s="126"/>
      <c r="P2257" s="135"/>
      <c r="Q2257" s="135"/>
    </row>
    <row r="2258" spans="11:17" ht="12.75">
      <c r="K2258" s="118"/>
      <c r="L2258" s="118"/>
      <c r="M2258" s="126"/>
      <c r="N2258" s="126"/>
      <c r="O2258" s="126"/>
      <c r="P2258" s="135"/>
      <c r="Q2258" s="135"/>
    </row>
    <row r="2259" spans="11:17" ht="12.75">
      <c r="K2259" s="118"/>
      <c r="L2259" s="118"/>
      <c r="M2259" s="126"/>
      <c r="N2259" s="126"/>
      <c r="O2259" s="126"/>
      <c r="P2259" s="135"/>
      <c r="Q2259" s="135"/>
    </row>
    <row r="2260" spans="11:17" ht="12.75">
      <c r="K2260" s="118"/>
      <c r="L2260" s="118"/>
      <c r="M2260" s="126"/>
      <c r="N2260" s="126"/>
      <c r="O2260" s="126"/>
      <c r="P2260" s="135"/>
      <c r="Q2260" s="135"/>
    </row>
    <row r="2261" spans="11:17" ht="12.75">
      <c r="K2261" s="118"/>
      <c r="L2261" s="118"/>
      <c r="M2261" s="126"/>
      <c r="N2261" s="126"/>
      <c r="O2261" s="126"/>
      <c r="P2261" s="135"/>
      <c r="Q2261" s="135"/>
    </row>
    <row r="2262" spans="11:17" ht="12.75">
      <c r="K2262" s="118"/>
      <c r="L2262" s="118"/>
      <c r="M2262" s="126"/>
      <c r="N2262" s="126"/>
      <c r="O2262" s="126"/>
      <c r="P2262" s="135"/>
      <c r="Q2262" s="135"/>
    </row>
    <row r="2263" spans="11:17" ht="12.75">
      <c r="K2263" s="118"/>
      <c r="L2263" s="118"/>
      <c r="M2263" s="126"/>
      <c r="N2263" s="126"/>
      <c r="O2263" s="126"/>
      <c r="P2263" s="135"/>
      <c r="Q2263" s="135"/>
    </row>
    <row r="2264" spans="11:17" ht="12.75">
      <c r="K2264" s="118"/>
      <c r="L2264" s="118"/>
      <c r="M2264" s="126"/>
      <c r="N2264" s="126"/>
      <c r="O2264" s="126"/>
      <c r="P2264" s="135"/>
      <c r="Q2264" s="135"/>
    </row>
    <row r="2265" spans="11:17" ht="12.75">
      <c r="K2265" s="118"/>
      <c r="L2265" s="118"/>
      <c r="M2265" s="126"/>
      <c r="N2265" s="126"/>
      <c r="O2265" s="126"/>
      <c r="P2265" s="135"/>
      <c r="Q2265" s="135"/>
    </row>
    <row r="2266" spans="11:17" ht="12.75">
      <c r="K2266" s="118"/>
      <c r="L2266" s="118"/>
      <c r="M2266" s="126"/>
      <c r="N2266" s="126"/>
      <c r="O2266" s="126"/>
      <c r="P2266" s="135"/>
      <c r="Q2266" s="135"/>
    </row>
    <row r="2267" spans="11:17" ht="12.75">
      <c r="K2267" s="118"/>
      <c r="L2267" s="118"/>
      <c r="M2267" s="126"/>
      <c r="N2267" s="126"/>
      <c r="O2267" s="126"/>
      <c r="P2267" s="135"/>
      <c r="Q2267" s="135"/>
    </row>
    <row r="2268" spans="11:17" ht="12.75">
      <c r="K2268" s="118"/>
      <c r="L2268" s="118"/>
      <c r="M2268" s="126"/>
      <c r="N2268" s="126"/>
      <c r="O2268" s="126"/>
      <c r="P2268" s="135"/>
      <c r="Q2268" s="135"/>
    </row>
    <row r="2269" spans="11:17" ht="12.75">
      <c r="K2269" s="118"/>
      <c r="L2269" s="118"/>
      <c r="M2269" s="126"/>
      <c r="N2269" s="126"/>
      <c r="O2269" s="126"/>
      <c r="P2269" s="135"/>
      <c r="Q2269" s="135"/>
    </row>
    <row r="2270" spans="11:17" ht="12.75">
      <c r="K2270" s="118"/>
      <c r="L2270" s="118"/>
      <c r="M2270" s="126"/>
      <c r="N2270" s="126"/>
      <c r="O2270" s="126"/>
      <c r="P2270" s="135"/>
      <c r="Q2270" s="135"/>
    </row>
    <row r="2271" spans="11:17" ht="12.75">
      <c r="K2271" s="118"/>
      <c r="L2271" s="118"/>
      <c r="M2271" s="126"/>
      <c r="N2271" s="126"/>
      <c r="O2271" s="126"/>
      <c r="P2271" s="135"/>
      <c r="Q2271" s="135"/>
    </row>
    <row r="2272" spans="11:17" ht="12.75">
      <c r="K2272" s="118"/>
      <c r="L2272" s="118"/>
      <c r="M2272" s="126"/>
      <c r="N2272" s="126"/>
      <c r="O2272" s="126"/>
      <c r="P2272" s="135"/>
      <c r="Q2272" s="135"/>
    </row>
    <row r="2273" spans="11:17" ht="12.75">
      <c r="K2273" s="118"/>
      <c r="L2273" s="118"/>
      <c r="M2273" s="126"/>
      <c r="N2273" s="126"/>
      <c r="O2273" s="126"/>
      <c r="P2273" s="135"/>
      <c r="Q2273" s="135"/>
    </row>
    <row r="2274" spans="11:17" ht="12.75">
      <c r="K2274" s="118"/>
      <c r="L2274" s="118"/>
      <c r="M2274" s="126"/>
      <c r="N2274" s="126"/>
      <c r="O2274" s="126"/>
      <c r="P2274" s="135"/>
      <c r="Q2274" s="135"/>
    </row>
    <row r="2275" spans="11:17" ht="12.75">
      <c r="K2275" s="118"/>
      <c r="L2275" s="118"/>
      <c r="M2275" s="126"/>
      <c r="N2275" s="126"/>
      <c r="O2275" s="126"/>
      <c r="P2275" s="135"/>
      <c r="Q2275" s="135"/>
    </row>
    <row r="2276" spans="11:17" ht="12.75">
      <c r="K2276" s="118"/>
      <c r="L2276" s="118"/>
      <c r="M2276" s="126"/>
      <c r="N2276" s="126"/>
      <c r="O2276" s="126"/>
      <c r="P2276" s="135"/>
      <c r="Q2276" s="135"/>
    </row>
    <row r="2277" spans="11:17" ht="12.75">
      <c r="K2277" s="118"/>
      <c r="L2277" s="118"/>
      <c r="M2277" s="126"/>
      <c r="N2277" s="126"/>
      <c r="O2277" s="126"/>
      <c r="P2277" s="135"/>
      <c r="Q2277" s="135"/>
    </row>
    <row r="2278" spans="11:17" ht="12.75">
      <c r="K2278" s="118"/>
      <c r="L2278" s="118"/>
      <c r="M2278" s="126"/>
      <c r="N2278" s="126"/>
      <c r="O2278" s="126"/>
      <c r="P2278" s="135"/>
      <c r="Q2278" s="135"/>
    </row>
    <row r="2279" spans="11:17" ht="12.75">
      <c r="K2279" s="118"/>
      <c r="L2279" s="118"/>
      <c r="M2279" s="126"/>
      <c r="N2279" s="126"/>
      <c r="O2279" s="126"/>
      <c r="P2279" s="135"/>
      <c r="Q2279" s="135"/>
    </row>
    <row r="2280" spans="11:17" ht="12.75">
      <c r="K2280" s="118"/>
      <c r="L2280" s="118"/>
      <c r="M2280" s="126"/>
      <c r="N2280" s="126"/>
      <c r="O2280" s="126"/>
      <c r="P2280" s="135"/>
      <c r="Q2280" s="135"/>
    </row>
    <row r="2281" spans="11:17" ht="12.75">
      <c r="K2281" s="118"/>
      <c r="L2281" s="118"/>
      <c r="M2281" s="126"/>
      <c r="N2281" s="126"/>
      <c r="O2281" s="126"/>
      <c r="P2281" s="135"/>
      <c r="Q2281" s="135"/>
    </row>
    <row r="2282" spans="11:17" ht="12.75">
      <c r="K2282" s="118"/>
      <c r="L2282" s="118"/>
      <c r="M2282" s="126"/>
      <c r="N2282" s="126"/>
      <c r="O2282" s="126"/>
      <c r="P2282" s="135"/>
      <c r="Q2282" s="135"/>
    </row>
    <row r="2283" spans="11:17" ht="12.75">
      <c r="K2283" s="118"/>
      <c r="L2283" s="118"/>
      <c r="M2283" s="126"/>
      <c r="N2283" s="126"/>
      <c r="O2283" s="126"/>
      <c r="P2283" s="135"/>
      <c r="Q2283" s="135"/>
    </row>
    <row r="2284" spans="11:17" ht="12.75">
      <c r="K2284" s="118"/>
      <c r="L2284" s="118"/>
      <c r="M2284" s="126"/>
      <c r="N2284" s="126"/>
      <c r="O2284" s="126"/>
      <c r="P2284" s="135"/>
      <c r="Q2284" s="135"/>
    </row>
    <row r="2285" spans="11:17" ht="12.75">
      <c r="K2285" s="118"/>
      <c r="L2285" s="118"/>
      <c r="M2285" s="126"/>
      <c r="N2285" s="126"/>
      <c r="O2285" s="126"/>
      <c r="P2285" s="135"/>
      <c r="Q2285" s="135"/>
    </row>
    <row r="2286" spans="11:17" ht="12.75">
      <c r="K2286" s="118"/>
      <c r="L2286" s="118"/>
      <c r="M2286" s="126"/>
      <c r="N2286" s="126"/>
      <c r="O2286" s="126"/>
      <c r="P2286" s="135"/>
      <c r="Q2286" s="135"/>
    </row>
    <row r="2287" spans="11:17" ht="12.75">
      <c r="K2287" s="118"/>
      <c r="L2287" s="118"/>
      <c r="M2287" s="126"/>
      <c r="N2287" s="126"/>
      <c r="O2287" s="126"/>
      <c r="P2287" s="135"/>
      <c r="Q2287" s="135"/>
    </row>
    <row r="2288" spans="11:17" ht="12.75">
      <c r="K2288" s="118"/>
      <c r="L2288" s="118"/>
      <c r="M2288" s="126"/>
      <c r="N2288" s="126"/>
      <c r="O2288" s="126"/>
      <c r="P2288" s="135"/>
      <c r="Q2288" s="135"/>
    </row>
    <row r="2289" spans="11:17" ht="12.75">
      <c r="K2289" s="118"/>
      <c r="L2289" s="118"/>
      <c r="M2289" s="126"/>
      <c r="N2289" s="126"/>
      <c r="O2289" s="126"/>
      <c r="P2289" s="135"/>
      <c r="Q2289" s="135"/>
    </row>
    <row r="2290" spans="11:17" ht="12.75">
      <c r="K2290" s="118"/>
      <c r="L2290" s="118"/>
      <c r="M2290" s="126"/>
      <c r="N2290" s="126"/>
      <c r="O2290" s="126"/>
      <c r="P2290" s="135"/>
      <c r="Q2290" s="135"/>
    </row>
    <row r="2291" spans="11:17" ht="12.75">
      <c r="K2291" s="118"/>
      <c r="L2291" s="118"/>
      <c r="M2291" s="126"/>
      <c r="N2291" s="126"/>
      <c r="O2291" s="126"/>
      <c r="P2291" s="135"/>
      <c r="Q2291" s="135"/>
    </row>
    <row r="2292" spans="11:17" ht="12.75">
      <c r="K2292" s="118"/>
      <c r="L2292" s="118"/>
      <c r="M2292" s="126"/>
      <c r="N2292" s="126"/>
      <c r="O2292" s="126"/>
      <c r="P2292" s="135"/>
      <c r="Q2292" s="135"/>
    </row>
    <row r="2293" spans="11:17" ht="12.75">
      <c r="K2293" s="118"/>
      <c r="L2293" s="118"/>
      <c r="M2293" s="126"/>
      <c r="N2293" s="126"/>
      <c r="O2293" s="126"/>
      <c r="P2293" s="135"/>
      <c r="Q2293" s="135"/>
    </row>
    <row r="2294" spans="11:17" ht="12.75">
      <c r="K2294" s="118"/>
      <c r="L2294" s="118"/>
      <c r="M2294" s="126"/>
      <c r="N2294" s="126"/>
      <c r="O2294" s="126"/>
      <c r="P2294" s="135"/>
      <c r="Q2294" s="135"/>
    </row>
    <row r="2295" spans="11:17" ht="12.75">
      <c r="K2295" s="118"/>
      <c r="L2295" s="118"/>
      <c r="M2295" s="126"/>
      <c r="N2295" s="126"/>
      <c r="O2295" s="126"/>
      <c r="P2295" s="135"/>
      <c r="Q2295" s="135"/>
    </row>
    <row r="2296" spans="11:17" ht="12.75">
      <c r="K2296" s="118"/>
      <c r="L2296" s="118"/>
      <c r="M2296" s="126"/>
      <c r="N2296" s="126"/>
      <c r="O2296" s="126"/>
      <c r="P2296" s="135"/>
      <c r="Q2296" s="135"/>
    </row>
    <row r="2297" spans="11:17" ht="12.75">
      <c r="K2297" s="118"/>
      <c r="L2297" s="118"/>
      <c r="M2297" s="126"/>
      <c r="N2297" s="126"/>
      <c r="O2297" s="126"/>
      <c r="P2297" s="135"/>
      <c r="Q2297" s="135"/>
    </row>
    <row r="2298" spans="11:17" ht="12.75">
      <c r="K2298" s="118"/>
      <c r="L2298" s="118"/>
      <c r="M2298" s="126"/>
      <c r="N2298" s="126"/>
      <c r="O2298" s="126"/>
      <c r="P2298" s="135"/>
      <c r="Q2298" s="135"/>
    </row>
    <row r="2299" spans="11:17" ht="12.75">
      <c r="K2299" s="118"/>
      <c r="L2299" s="118"/>
      <c r="M2299" s="126"/>
      <c r="N2299" s="126"/>
      <c r="O2299" s="126"/>
      <c r="P2299" s="135"/>
      <c r="Q2299" s="135"/>
    </row>
    <row r="2300" spans="11:17" ht="12.75">
      <c r="K2300" s="118"/>
      <c r="L2300" s="118"/>
      <c r="M2300" s="126"/>
      <c r="N2300" s="126"/>
      <c r="O2300" s="126"/>
      <c r="P2300" s="135"/>
      <c r="Q2300" s="135"/>
    </row>
    <row r="2301" spans="11:17" ht="12.75">
      <c r="K2301" s="118"/>
      <c r="L2301" s="118"/>
      <c r="M2301" s="126"/>
      <c r="N2301" s="126"/>
      <c r="O2301" s="126"/>
      <c r="P2301" s="135"/>
      <c r="Q2301" s="135"/>
    </row>
    <row r="2302" spans="11:17" ht="12.75">
      <c r="K2302" s="118"/>
      <c r="L2302" s="118"/>
      <c r="M2302" s="126"/>
      <c r="N2302" s="126"/>
      <c r="O2302" s="126"/>
      <c r="P2302" s="135"/>
      <c r="Q2302" s="135"/>
    </row>
    <row r="2303" spans="11:17" ht="12.75">
      <c r="K2303" s="118"/>
      <c r="L2303" s="118"/>
      <c r="M2303" s="126"/>
      <c r="N2303" s="126"/>
      <c r="O2303" s="126"/>
      <c r="P2303" s="135"/>
      <c r="Q2303" s="135"/>
    </row>
    <row r="2304" spans="11:17" ht="12.75">
      <c r="K2304" s="118"/>
      <c r="L2304" s="118"/>
      <c r="M2304" s="126"/>
      <c r="N2304" s="126"/>
      <c r="O2304" s="126"/>
      <c r="P2304" s="135"/>
      <c r="Q2304" s="135"/>
    </row>
    <row r="2305" spans="11:17" ht="12.75">
      <c r="K2305" s="118"/>
      <c r="L2305" s="118"/>
      <c r="M2305" s="126"/>
      <c r="N2305" s="126"/>
      <c r="O2305" s="126"/>
      <c r="P2305" s="135"/>
      <c r="Q2305" s="135"/>
    </row>
    <row r="2306" spans="11:17" ht="12.75">
      <c r="K2306" s="118"/>
      <c r="L2306" s="118"/>
      <c r="M2306" s="126"/>
      <c r="N2306" s="126"/>
      <c r="O2306" s="126"/>
      <c r="P2306" s="135"/>
      <c r="Q2306" s="135"/>
    </row>
    <row r="2307" spans="11:17" ht="12.75">
      <c r="K2307" s="118"/>
      <c r="L2307" s="118"/>
      <c r="M2307" s="126"/>
      <c r="N2307" s="126"/>
      <c r="O2307" s="126"/>
      <c r="P2307" s="135"/>
      <c r="Q2307" s="135"/>
    </row>
    <row r="2308" spans="11:17" ht="12.75">
      <c r="K2308" s="118"/>
      <c r="L2308" s="118"/>
      <c r="M2308" s="126"/>
      <c r="N2308" s="126"/>
      <c r="O2308" s="126"/>
      <c r="P2308" s="135"/>
      <c r="Q2308" s="135"/>
    </row>
    <row r="2309" spans="11:17" ht="12.75">
      <c r="K2309" s="118"/>
      <c r="L2309" s="118"/>
      <c r="M2309" s="126"/>
      <c r="N2309" s="126"/>
      <c r="O2309" s="126"/>
      <c r="P2309" s="135"/>
      <c r="Q2309" s="135"/>
    </row>
    <row r="2310" spans="11:17" ht="12.75">
      <c r="K2310" s="118"/>
      <c r="L2310" s="118"/>
      <c r="M2310" s="126"/>
      <c r="N2310" s="126"/>
      <c r="O2310" s="126"/>
      <c r="P2310" s="135"/>
      <c r="Q2310" s="135"/>
    </row>
    <row r="2311" spans="11:17" ht="12.75">
      <c r="K2311" s="118"/>
      <c r="L2311" s="118"/>
      <c r="M2311" s="126"/>
      <c r="N2311" s="126"/>
      <c r="O2311" s="126"/>
      <c r="P2311" s="135"/>
      <c r="Q2311" s="135"/>
    </row>
    <row r="2312" spans="11:17" ht="12.75">
      <c r="K2312" s="118"/>
      <c r="L2312" s="118"/>
      <c r="M2312" s="126"/>
      <c r="N2312" s="126"/>
      <c r="O2312" s="126"/>
      <c r="P2312" s="135"/>
      <c r="Q2312" s="135"/>
    </row>
    <row r="2313" spans="11:17" ht="12.75">
      <c r="K2313" s="118"/>
      <c r="L2313" s="118"/>
      <c r="M2313" s="126"/>
      <c r="N2313" s="126"/>
      <c r="O2313" s="126"/>
      <c r="P2313" s="135"/>
      <c r="Q2313" s="135"/>
    </row>
    <row r="2314" spans="11:17" ht="12.75">
      <c r="K2314" s="118"/>
      <c r="L2314" s="118"/>
      <c r="M2314" s="126"/>
      <c r="N2314" s="126"/>
      <c r="O2314" s="126"/>
      <c r="P2314" s="135"/>
      <c r="Q2314" s="135"/>
    </row>
    <row r="2315" spans="11:17" ht="12.75">
      <c r="K2315" s="118"/>
      <c r="L2315" s="118"/>
      <c r="M2315" s="126"/>
      <c r="N2315" s="126"/>
      <c r="O2315" s="126"/>
      <c r="P2315" s="135"/>
      <c r="Q2315" s="135"/>
    </row>
    <row r="2316" spans="11:17" ht="12.75">
      <c r="K2316" s="118"/>
      <c r="L2316" s="118"/>
      <c r="M2316" s="126"/>
      <c r="N2316" s="126"/>
      <c r="O2316" s="126"/>
      <c r="P2316" s="135"/>
      <c r="Q2316" s="135"/>
    </row>
    <row r="2317" spans="11:17" ht="12.75">
      <c r="K2317" s="118"/>
      <c r="L2317" s="118"/>
      <c r="M2317" s="126"/>
      <c r="N2317" s="126"/>
      <c r="O2317" s="126"/>
      <c r="P2317" s="135"/>
      <c r="Q2317" s="135"/>
    </row>
    <row r="2318" spans="11:17" ht="12.75">
      <c r="K2318" s="118"/>
      <c r="L2318" s="118"/>
      <c r="M2318" s="126"/>
      <c r="N2318" s="126"/>
      <c r="O2318" s="126"/>
      <c r="P2318" s="135"/>
      <c r="Q2318" s="135"/>
    </row>
    <row r="2319" spans="11:17" ht="12.75">
      <c r="K2319" s="118"/>
      <c r="L2319" s="118"/>
      <c r="M2319" s="126"/>
      <c r="N2319" s="126"/>
      <c r="O2319" s="126"/>
      <c r="P2319" s="135"/>
      <c r="Q2319" s="135"/>
    </row>
    <row r="2320" spans="11:17" ht="12.75">
      <c r="K2320" s="118"/>
      <c r="L2320" s="118"/>
      <c r="M2320" s="126"/>
      <c r="N2320" s="126"/>
      <c r="O2320" s="126"/>
      <c r="P2320" s="135"/>
      <c r="Q2320" s="135"/>
    </row>
    <row r="2321" spans="11:17" ht="12.75">
      <c r="K2321" s="118"/>
      <c r="L2321" s="118"/>
      <c r="M2321" s="126"/>
      <c r="N2321" s="126"/>
      <c r="O2321" s="126"/>
      <c r="P2321" s="135"/>
      <c r="Q2321" s="135"/>
    </row>
    <row r="2322" spans="11:17" ht="12.75">
      <c r="K2322" s="118"/>
      <c r="L2322" s="118"/>
      <c r="M2322" s="126"/>
      <c r="N2322" s="126"/>
      <c r="O2322" s="126"/>
      <c r="P2322" s="135"/>
      <c r="Q2322" s="135"/>
    </row>
    <row r="2323" spans="11:17" ht="12.75">
      <c r="K2323" s="118"/>
      <c r="L2323" s="118"/>
      <c r="M2323" s="126"/>
      <c r="N2323" s="126"/>
      <c r="O2323" s="126"/>
      <c r="P2323" s="135"/>
      <c r="Q2323" s="135"/>
    </row>
    <row r="2324" spans="11:17" ht="12.75">
      <c r="K2324" s="118"/>
      <c r="L2324" s="118"/>
      <c r="M2324" s="126"/>
      <c r="N2324" s="126"/>
      <c r="O2324" s="126"/>
      <c r="P2324" s="135"/>
      <c r="Q2324" s="135"/>
    </row>
    <row r="2325" spans="11:17" ht="12.75">
      <c r="K2325" s="118"/>
      <c r="L2325" s="118"/>
      <c r="M2325" s="126"/>
      <c r="N2325" s="126"/>
      <c r="O2325" s="126"/>
      <c r="P2325" s="135"/>
      <c r="Q2325" s="135"/>
    </row>
    <row r="2326" spans="11:17" ht="12.75">
      <c r="K2326" s="118"/>
      <c r="L2326" s="118"/>
      <c r="M2326" s="126"/>
      <c r="N2326" s="126"/>
      <c r="O2326" s="126"/>
      <c r="P2326" s="135"/>
      <c r="Q2326" s="135"/>
    </row>
    <row r="2327" spans="11:17" ht="12.75">
      <c r="K2327" s="118"/>
      <c r="L2327" s="118"/>
      <c r="M2327" s="126"/>
      <c r="N2327" s="126"/>
      <c r="O2327" s="126"/>
      <c r="P2327" s="135"/>
      <c r="Q2327" s="135"/>
    </row>
    <row r="2328" spans="11:17" ht="12.75">
      <c r="K2328" s="118"/>
      <c r="L2328" s="118"/>
      <c r="M2328" s="126"/>
      <c r="N2328" s="126"/>
      <c r="O2328" s="126"/>
      <c r="P2328" s="135"/>
      <c r="Q2328" s="135"/>
    </row>
    <row r="2329" spans="11:17" ht="12.75">
      <c r="K2329" s="118"/>
      <c r="L2329" s="118"/>
      <c r="M2329" s="126"/>
      <c r="N2329" s="126"/>
      <c r="O2329" s="126"/>
      <c r="P2329" s="135"/>
      <c r="Q2329" s="135"/>
    </row>
    <row r="2330" spans="11:17" ht="12.75">
      <c r="K2330" s="118"/>
      <c r="L2330" s="118"/>
      <c r="M2330" s="126"/>
      <c r="N2330" s="126"/>
      <c r="O2330" s="126"/>
      <c r="P2330" s="135"/>
      <c r="Q2330" s="135"/>
    </row>
    <row r="2331" spans="11:17" ht="12.75">
      <c r="K2331" s="118"/>
      <c r="L2331" s="118"/>
      <c r="M2331" s="126"/>
      <c r="N2331" s="126"/>
      <c r="O2331" s="126"/>
      <c r="P2331" s="135"/>
      <c r="Q2331" s="135"/>
    </row>
    <row r="2332" spans="11:17" ht="12.75">
      <c r="K2332" s="118"/>
      <c r="L2332" s="118"/>
      <c r="M2332" s="126"/>
      <c r="N2332" s="126"/>
      <c r="O2332" s="126"/>
      <c r="P2332" s="135"/>
      <c r="Q2332" s="135"/>
    </row>
    <row r="2333" spans="11:17" ht="12.75">
      <c r="K2333" s="118"/>
      <c r="L2333" s="118"/>
      <c r="M2333" s="126"/>
      <c r="N2333" s="126"/>
      <c r="O2333" s="126"/>
      <c r="P2333" s="135"/>
      <c r="Q2333" s="135"/>
    </row>
    <row r="2334" spans="11:17" ht="12.75">
      <c r="K2334" s="118"/>
      <c r="L2334" s="118"/>
      <c r="M2334" s="126"/>
      <c r="N2334" s="126"/>
      <c r="O2334" s="126"/>
      <c r="P2334" s="135"/>
      <c r="Q2334" s="135"/>
    </row>
    <row r="2335" spans="11:17" ht="12.75">
      <c r="K2335" s="118"/>
      <c r="L2335" s="118"/>
      <c r="M2335" s="126"/>
      <c r="N2335" s="126"/>
      <c r="O2335" s="126"/>
      <c r="P2335" s="135"/>
      <c r="Q2335" s="135"/>
    </row>
    <row r="2336" spans="11:17" ht="12.75">
      <c r="K2336" s="118"/>
      <c r="L2336" s="118"/>
      <c r="M2336" s="126"/>
      <c r="N2336" s="126"/>
      <c r="O2336" s="126"/>
      <c r="P2336" s="135"/>
      <c r="Q2336" s="135"/>
    </row>
    <row r="2337" spans="11:17" ht="12.75">
      <c r="K2337" s="118"/>
      <c r="L2337" s="118"/>
      <c r="M2337" s="126"/>
      <c r="N2337" s="126"/>
      <c r="O2337" s="126"/>
      <c r="P2337" s="135"/>
      <c r="Q2337" s="135"/>
    </row>
    <row r="2338" spans="11:17" ht="12.75">
      <c r="K2338" s="118"/>
      <c r="L2338" s="118"/>
      <c r="M2338" s="126"/>
      <c r="N2338" s="126"/>
      <c r="O2338" s="126"/>
      <c r="P2338" s="135"/>
      <c r="Q2338" s="135"/>
    </row>
    <row r="2339" spans="11:17" ht="12.75">
      <c r="K2339" s="118"/>
      <c r="L2339" s="118"/>
      <c r="M2339" s="126"/>
      <c r="N2339" s="126"/>
      <c r="O2339" s="126"/>
      <c r="P2339" s="135"/>
      <c r="Q2339" s="135"/>
    </row>
    <row r="2340" spans="11:17" ht="12.75">
      <c r="K2340" s="118"/>
      <c r="L2340" s="118"/>
      <c r="M2340" s="126"/>
      <c r="N2340" s="126"/>
      <c r="O2340" s="126"/>
      <c r="P2340" s="135"/>
      <c r="Q2340" s="135"/>
    </row>
    <row r="2341" spans="11:17" ht="12.75">
      <c r="K2341" s="118"/>
      <c r="L2341" s="118"/>
      <c r="M2341" s="126"/>
      <c r="N2341" s="126"/>
      <c r="O2341" s="126"/>
      <c r="P2341" s="135"/>
      <c r="Q2341" s="135"/>
    </row>
    <row r="2342" spans="11:17" ht="12.75">
      <c r="K2342" s="118"/>
      <c r="L2342" s="118"/>
      <c r="M2342" s="126"/>
      <c r="N2342" s="126"/>
      <c r="O2342" s="126"/>
      <c r="P2342" s="135"/>
      <c r="Q2342" s="135"/>
    </row>
    <row r="2343" spans="11:17" ht="12.75">
      <c r="K2343" s="118"/>
      <c r="L2343" s="118"/>
      <c r="M2343" s="126"/>
      <c r="N2343" s="126"/>
      <c r="O2343" s="126"/>
      <c r="P2343" s="135"/>
      <c r="Q2343" s="135"/>
    </row>
    <row r="2344" spans="11:17" ht="12.75">
      <c r="K2344" s="118"/>
      <c r="L2344" s="118"/>
      <c r="M2344" s="126"/>
      <c r="N2344" s="126"/>
      <c r="O2344" s="126"/>
      <c r="P2344" s="135"/>
      <c r="Q2344" s="135"/>
    </row>
    <row r="2345" spans="11:17" ht="12.75">
      <c r="K2345" s="118"/>
      <c r="L2345" s="118"/>
      <c r="M2345" s="126"/>
      <c r="N2345" s="126"/>
      <c r="O2345" s="126"/>
      <c r="P2345" s="135"/>
      <c r="Q2345" s="135"/>
    </row>
    <row r="2346" spans="11:17" ht="12.75">
      <c r="K2346" s="118"/>
      <c r="L2346" s="118"/>
      <c r="M2346" s="126"/>
      <c r="N2346" s="126"/>
      <c r="O2346" s="126"/>
      <c r="P2346" s="135"/>
      <c r="Q2346" s="135"/>
    </row>
    <row r="2347" spans="11:17" ht="12.75">
      <c r="K2347" s="118"/>
      <c r="L2347" s="118"/>
      <c r="M2347" s="126"/>
      <c r="N2347" s="126"/>
      <c r="O2347" s="126"/>
      <c r="P2347" s="135"/>
      <c r="Q2347" s="135"/>
    </row>
    <row r="2348" spans="11:17" ht="12.75">
      <c r="K2348" s="118"/>
      <c r="L2348" s="118"/>
      <c r="M2348" s="126"/>
      <c r="N2348" s="126"/>
      <c r="O2348" s="126"/>
      <c r="P2348" s="135"/>
      <c r="Q2348" s="135"/>
    </row>
    <row r="2349" spans="11:17" ht="12.75">
      <c r="K2349" s="118"/>
      <c r="L2349" s="118"/>
      <c r="M2349" s="126"/>
      <c r="N2349" s="126"/>
      <c r="O2349" s="126"/>
      <c r="P2349" s="135"/>
      <c r="Q2349" s="135"/>
    </row>
    <row r="2350" spans="11:17" ht="12.75">
      <c r="K2350" s="118"/>
      <c r="L2350" s="118"/>
      <c r="M2350" s="126"/>
      <c r="N2350" s="126"/>
      <c r="O2350" s="126"/>
      <c r="P2350" s="135"/>
      <c r="Q2350" s="135"/>
    </row>
    <row r="2351" spans="11:17" ht="12.75">
      <c r="K2351" s="118"/>
      <c r="L2351" s="118"/>
      <c r="M2351" s="126"/>
      <c r="N2351" s="126"/>
      <c r="O2351" s="126"/>
      <c r="P2351" s="135"/>
      <c r="Q2351" s="135"/>
    </row>
    <row r="2352" spans="11:17" ht="12.75">
      <c r="K2352" s="118"/>
      <c r="L2352" s="118"/>
      <c r="M2352" s="126"/>
      <c r="N2352" s="126"/>
      <c r="O2352" s="126"/>
      <c r="P2352" s="135"/>
      <c r="Q2352" s="135"/>
    </row>
    <row r="2353" spans="11:17" ht="12.75">
      <c r="K2353" s="118"/>
      <c r="L2353" s="118"/>
      <c r="M2353" s="126"/>
      <c r="N2353" s="126"/>
      <c r="O2353" s="126"/>
      <c r="P2353" s="135"/>
      <c r="Q2353" s="135"/>
    </row>
    <row r="2354" spans="11:17" ht="12.75">
      <c r="K2354" s="118"/>
      <c r="L2354" s="118"/>
      <c r="M2354" s="126"/>
      <c r="N2354" s="126"/>
      <c r="O2354" s="126"/>
      <c r="P2354" s="135"/>
      <c r="Q2354" s="135"/>
    </row>
    <row r="2355" spans="11:17" ht="12.75">
      <c r="K2355" s="118"/>
      <c r="L2355" s="118"/>
      <c r="M2355" s="126"/>
      <c r="N2355" s="126"/>
      <c r="O2355" s="126"/>
      <c r="P2355" s="135"/>
      <c r="Q2355" s="135"/>
    </row>
    <row r="2356" spans="11:17" ht="12.75">
      <c r="K2356" s="118"/>
      <c r="L2356" s="118"/>
      <c r="M2356" s="126"/>
      <c r="N2356" s="126"/>
      <c r="O2356" s="126"/>
      <c r="P2356" s="135"/>
      <c r="Q2356" s="135"/>
    </row>
    <row r="2357" spans="11:17" ht="12.75">
      <c r="K2357" s="118"/>
      <c r="L2357" s="118"/>
      <c r="M2357" s="126"/>
      <c r="N2357" s="126"/>
      <c r="O2357" s="126"/>
      <c r="P2357" s="135"/>
      <c r="Q2357" s="135"/>
    </row>
    <row r="2358" spans="11:17" ht="12.75">
      <c r="K2358" s="118"/>
      <c r="L2358" s="118"/>
      <c r="M2358" s="126"/>
      <c r="N2358" s="126"/>
      <c r="O2358" s="126"/>
      <c r="P2358" s="135"/>
      <c r="Q2358" s="135"/>
    </row>
    <row r="2359" spans="11:17" ht="12.75">
      <c r="K2359" s="118"/>
      <c r="L2359" s="118"/>
      <c r="M2359" s="126"/>
      <c r="N2359" s="126"/>
      <c r="O2359" s="126"/>
      <c r="P2359" s="135"/>
      <c r="Q2359" s="135"/>
    </row>
    <row r="2360" spans="11:17" ht="12.75">
      <c r="K2360" s="118"/>
      <c r="L2360" s="118"/>
      <c r="M2360" s="126"/>
      <c r="N2360" s="126"/>
      <c r="O2360" s="126"/>
      <c r="P2360" s="135"/>
      <c r="Q2360" s="135"/>
    </row>
    <row r="2361" spans="11:17" ht="12.75">
      <c r="K2361" s="118"/>
      <c r="L2361" s="118"/>
      <c r="M2361" s="126"/>
      <c r="N2361" s="126"/>
      <c r="O2361" s="126"/>
      <c r="P2361" s="135"/>
      <c r="Q2361" s="135"/>
    </row>
    <row r="2362" spans="11:17" ht="12.75">
      <c r="K2362" s="118"/>
      <c r="L2362" s="118"/>
      <c r="M2362" s="126"/>
      <c r="N2362" s="126"/>
      <c r="O2362" s="126"/>
      <c r="P2362" s="135"/>
      <c r="Q2362" s="135"/>
    </row>
    <row r="2363" spans="11:17" ht="12.75">
      <c r="K2363" s="118"/>
      <c r="L2363" s="118"/>
      <c r="M2363" s="126"/>
      <c r="N2363" s="126"/>
      <c r="O2363" s="126"/>
      <c r="P2363" s="135"/>
      <c r="Q2363" s="135"/>
    </row>
    <row r="2364" spans="11:17" ht="12.75">
      <c r="K2364" s="118"/>
      <c r="L2364" s="118"/>
      <c r="M2364" s="126"/>
      <c r="N2364" s="126"/>
      <c r="O2364" s="126"/>
      <c r="P2364" s="135"/>
      <c r="Q2364" s="135"/>
    </row>
    <row r="2365" spans="11:17" ht="12.75">
      <c r="K2365" s="118"/>
      <c r="L2365" s="118"/>
      <c r="M2365" s="126"/>
      <c r="N2365" s="126"/>
      <c r="O2365" s="126"/>
      <c r="P2365" s="135"/>
      <c r="Q2365" s="135"/>
    </row>
    <row r="2366" spans="11:17" ht="12.75">
      <c r="K2366" s="118"/>
      <c r="L2366" s="118"/>
      <c r="M2366" s="126"/>
      <c r="N2366" s="126"/>
      <c r="O2366" s="126"/>
      <c r="P2366" s="135"/>
      <c r="Q2366" s="135"/>
    </row>
    <row r="2367" spans="11:17" ht="12.75">
      <c r="K2367" s="118"/>
      <c r="L2367" s="118"/>
      <c r="M2367" s="126"/>
      <c r="N2367" s="126"/>
      <c r="O2367" s="126"/>
      <c r="P2367" s="135"/>
      <c r="Q2367" s="135"/>
    </row>
    <row r="2368" spans="11:17" ht="12.75">
      <c r="K2368" s="118"/>
      <c r="L2368" s="118"/>
      <c r="M2368" s="126"/>
      <c r="N2368" s="126"/>
      <c r="O2368" s="126"/>
      <c r="P2368" s="135"/>
      <c r="Q2368" s="135"/>
    </row>
    <row r="2369" spans="11:17" ht="12.75">
      <c r="K2369" s="118"/>
      <c r="L2369" s="118"/>
      <c r="M2369" s="126"/>
      <c r="N2369" s="126"/>
      <c r="O2369" s="126"/>
      <c r="P2369" s="135"/>
      <c r="Q2369" s="135"/>
    </row>
    <row r="2370" spans="11:17" ht="12.75">
      <c r="K2370" s="118"/>
      <c r="L2370" s="118"/>
      <c r="M2370" s="126"/>
      <c r="N2370" s="126"/>
      <c r="O2370" s="126"/>
      <c r="P2370" s="135"/>
      <c r="Q2370" s="135"/>
    </row>
    <row r="2371" spans="11:17" ht="12.75">
      <c r="K2371" s="118"/>
      <c r="L2371" s="118"/>
      <c r="M2371" s="126"/>
      <c r="N2371" s="126"/>
      <c r="O2371" s="126"/>
      <c r="P2371" s="135"/>
      <c r="Q2371" s="135"/>
    </row>
    <row r="2372" spans="11:17" ht="12.75">
      <c r="K2372" s="118"/>
      <c r="L2372" s="118"/>
      <c r="M2372" s="126"/>
      <c r="N2372" s="126"/>
      <c r="O2372" s="126"/>
      <c r="P2372" s="135"/>
      <c r="Q2372" s="135"/>
    </row>
    <row r="2373" spans="11:17" ht="12.75">
      <c r="K2373" s="118"/>
      <c r="L2373" s="118"/>
      <c r="M2373" s="126"/>
      <c r="N2373" s="126"/>
      <c r="O2373" s="126"/>
      <c r="P2373" s="135"/>
      <c r="Q2373" s="135"/>
    </row>
    <row r="2374" spans="11:17" ht="12.75">
      <c r="K2374" s="118"/>
      <c r="L2374" s="118"/>
      <c r="M2374" s="126"/>
      <c r="N2374" s="126"/>
      <c r="O2374" s="126"/>
      <c r="P2374" s="135"/>
      <c r="Q2374" s="135"/>
    </row>
    <row r="2375" spans="11:17" ht="12.75">
      <c r="K2375" s="118"/>
      <c r="L2375" s="118"/>
      <c r="M2375" s="126"/>
      <c r="N2375" s="126"/>
      <c r="O2375" s="126"/>
      <c r="P2375" s="135"/>
      <c r="Q2375" s="135"/>
    </row>
    <row r="2376" spans="11:17" ht="12.75">
      <c r="K2376" s="118"/>
      <c r="L2376" s="118"/>
      <c r="M2376" s="126"/>
      <c r="N2376" s="126"/>
      <c r="O2376" s="126"/>
      <c r="P2376" s="135"/>
      <c r="Q2376" s="135"/>
    </row>
    <row r="2377" spans="11:17" ht="12.75">
      <c r="K2377" s="118"/>
      <c r="L2377" s="118"/>
      <c r="M2377" s="126"/>
      <c r="N2377" s="126"/>
      <c r="O2377" s="126"/>
      <c r="P2377" s="135"/>
      <c r="Q2377" s="135"/>
    </row>
    <row r="2378" spans="11:17" ht="12.75">
      <c r="K2378" s="118"/>
      <c r="L2378" s="118"/>
      <c r="M2378" s="126"/>
      <c r="N2378" s="126"/>
      <c r="O2378" s="126"/>
      <c r="P2378" s="135"/>
      <c r="Q2378" s="135"/>
    </row>
    <row r="2379" spans="11:17" ht="12.75">
      <c r="K2379" s="118"/>
      <c r="L2379" s="118"/>
      <c r="M2379" s="126"/>
      <c r="N2379" s="126"/>
      <c r="O2379" s="126"/>
      <c r="P2379" s="135"/>
      <c r="Q2379" s="135"/>
    </row>
    <row r="2380" spans="11:17" ht="12.75">
      <c r="K2380" s="118"/>
      <c r="L2380" s="118"/>
      <c r="M2380" s="126"/>
      <c r="N2380" s="126"/>
      <c r="O2380" s="126"/>
      <c r="P2380" s="135"/>
      <c r="Q2380" s="135"/>
    </row>
    <row r="2381" spans="11:17" ht="12.75">
      <c r="K2381" s="118"/>
      <c r="L2381" s="118"/>
      <c r="M2381" s="126"/>
      <c r="N2381" s="126"/>
      <c r="O2381" s="126"/>
      <c r="P2381" s="135"/>
      <c r="Q2381" s="135"/>
    </row>
    <row r="2382" spans="11:17" ht="12.75">
      <c r="K2382" s="118"/>
      <c r="L2382" s="118"/>
      <c r="M2382" s="126"/>
      <c r="N2382" s="126"/>
      <c r="O2382" s="126"/>
      <c r="P2382" s="135"/>
      <c r="Q2382" s="135"/>
    </row>
    <row r="2383" spans="11:17" ht="12.75">
      <c r="K2383" s="118"/>
      <c r="L2383" s="118"/>
      <c r="M2383" s="126"/>
      <c r="N2383" s="126"/>
      <c r="O2383" s="126"/>
      <c r="P2383" s="135"/>
      <c r="Q2383" s="135"/>
    </row>
    <row r="2384" spans="11:17" ht="12.75">
      <c r="K2384" s="118"/>
      <c r="L2384" s="118"/>
      <c r="M2384" s="126"/>
      <c r="N2384" s="126"/>
      <c r="O2384" s="126"/>
      <c r="P2384" s="135"/>
      <c r="Q2384" s="135"/>
    </row>
    <row r="2385" spans="11:17" ht="12.75">
      <c r="K2385" s="118"/>
      <c r="L2385" s="118"/>
      <c r="M2385" s="126"/>
      <c r="N2385" s="126"/>
      <c r="O2385" s="126"/>
      <c r="P2385" s="135"/>
      <c r="Q2385" s="135"/>
    </row>
    <row r="2386" spans="11:17" ht="12.75">
      <c r="K2386" s="118"/>
      <c r="L2386" s="118"/>
      <c r="M2386" s="126"/>
      <c r="N2386" s="126"/>
      <c r="O2386" s="126"/>
      <c r="P2386" s="135"/>
      <c r="Q2386" s="135"/>
    </row>
    <row r="2387" spans="11:17" ht="12.75">
      <c r="K2387" s="118"/>
      <c r="L2387" s="118"/>
      <c r="M2387" s="126"/>
      <c r="N2387" s="126"/>
      <c r="O2387" s="126"/>
      <c r="P2387" s="135"/>
      <c r="Q2387" s="135"/>
    </row>
    <row r="2388" spans="11:17" ht="12.75">
      <c r="K2388" s="118"/>
      <c r="L2388" s="118"/>
      <c r="M2388" s="126"/>
      <c r="N2388" s="126"/>
      <c r="O2388" s="126"/>
      <c r="P2388" s="135"/>
      <c r="Q2388" s="135"/>
    </row>
    <row r="2389" spans="11:17" ht="12.75">
      <c r="K2389" s="118"/>
      <c r="L2389" s="118"/>
      <c r="M2389" s="126"/>
      <c r="N2389" s="126"/>
      <c r="O2389" s="126"/>
      <c r="P2389" s="135"/>
      <c r="Q2389" s="135"/>
    </row>
    <row r="2390" spans="11:17" ht="12.75">
      <c r="K2390" s="118"/>
      <c r="L2390" s="118"/>
      <c r="M2390" s="126"/>
      <c r="N2390" s="126"/>
      <c r="O2390" s="126"/>
      <c r="P2390" s="135"/>
      <c r="Q2390" s="135"/>
    </row>
    <row r="2391" spans="11:17" ht="12.75">
      <c r="K2391" s="118"/>
      <c r="L2391" s="118"/>
      <c r="M2391" s="126"/>
      <c r="N2391" s="126"/>
      <c r="O2391" s="126"/>
      <c r="P2391" s="135"/>
      <c r="Q2391" s="135"/>
    </row>
    <row r="2392" spans="11:17" ht="12.75">
      <c r="K2392" s="118"/>
      <c r="L2392" s="118"/>
      <c r="M2392" s="126"/>
      <c r="N2392" s="126"/>
      <c r="O2392" s="126"/>
      <c r="P2392" s="135"/>
      <c r="Q2392" s="135"/>
    </row>
    <row r="2393" spans="11:17" ht="12.75">
      <c r="K2393" s="118"/>
      <c r="L2393" s="118"/>
      <c r="M2393" s="126"/>
      <c r="N2393" s="126"/>
      <c r="O2393" s="126"/>
      <c r="P2393" s="135"/>
      <c r="Q2393" s="135"/>
    </row>
    <row r="2394" spans="11:17" ht="12.75">
      <c r="K2394" s="118"/>
      <c r="L2394" s="118"/>
      <c r="M2394" s="126"/>
      <c r="N2394" s="126"/>
      <c r="O2394" s="126"/>
      <c r="P2394" s="135"/>
      <c r="Q2394" s="135"/>
    </row>
    <row r="2395" spans="11:17" ht="12.75">
      <c r="K2395" s="118"/>
      <c r="L2395" s="118"/>
      <c r="M2395" s="126"/>
      <c r="N2395" s="126"/>
      <c r="O2395" s="126"/>
      <c r="P2395" s="135"/>
      <c r="Q2395" s="135"/>
    </row>
    <row r="2396" spans="11:17" ht="12.75">
      <c r="K2396" s="118"/>
      <c r="L2396" s="118"/>
      <c r="M2396" s="126"/>
      <c r="N2396" s="126"/>
      <c r="O2396" s="126"/>
      <c r="P2396" s="135"/>
      <c r="Q2396" s="135"/>
    </row>
    <row r="2397" spans="11:17" ht="12.75">
      <c r="K2397" s="118"/>
      <c r="L2397" s="118"/>
      <c r="M2397" s="126"/>
      <c r="N2397" s="126"/>
      <c r="O2397" s="126"/>
      <c r="P2397" s="135"/>
      <c r="Q2397" s="135"/>
    </row>
    <row r="2398" spans="11:17" ht="12.75">
      <c r="K2398" s="118"/>
      <c r="L2398" s="118"/>
      <c r="M2398" s="126"/>
      <c r="N2398" s="126"/>
      <c r="O2398" s="126"/>
      <c r="P2398" s="135"/>
      <c r="Q2398" s="135"/>
    </row>
    <row r="2399" spans="11:17" ht="12.75">
      <c r="K2399" s="118"/>
      <c r="L2399" s="118"/>
      <c r="M2399" s="126"/>
      <c r="N2399" s="126"/>
      <c r="O2399" s="126"/>
      <c r="P2399" s="135"/>
      <c r="Q2399" s="135"/>
    </row>
    <row r="2400" spans="11:17" ht="12.75">
      <c r="K2400" s="118"/>
      <c r="L2400" s="118"/>
      <c r="M2400" s="126"/>
      <c r="N2400" s="126"/>
      <c r="O2400" s="126"/>
      <c r="P2400" s="135"/>
      <c r="Q2400" s="135"/>
    </row>
    <row r="2401" spans="11:17" ht="12.75">
      <c r="K2401" s="118"/>
      <c r="L2401" s="118"/>
      <c r="M2401" s="126"/>
      <c r="N2401" s="126"/>
      <c r="O2401" s="126"/>
      <c r="P2401" s="135"/>
      <c r="Q2401" s="135"/>
    </row>
    <row r="2402" spans="11:17" ht="12.75">
      <c r="K2402" s="118"/>
      <c r="L2402" s="118"/>
      <c r="M2402" s="126"/>
      <c r="N2402" s="126"/>
      <c r="O2402" s="126"/>
      <c r="P2402" s="135"/>
      <c r="Q2402" s="135"/>
    </row>
    <row r="2403" spans="11:17" ht="12.75">
      <c r="K2403" s="118"/>
      <c r="L2403" s="118"/>
      <c r="M2403" s="126"/>
      <c r="N2403" s="126"/>
      <c r="O2403" s="126"/>
      <c r="P2403" s="135"/>
      <c r="Q2403" s="135"/>
    </row>
    <row r="2404" spans="11:17" ht="12.75">
      <c r="K2404" s="118"/>
      <c r="L2404" s="118"/>
      <c r="M2404" s="126"/>
      <c r="N2404" s="126"/>
      <c r="O2404" s="126"/>
      <c r="P2404" s="135"/>
      <c r="Q2404" s="135"/>
    </row>
    <row r="2405" spans="11:17" ht="12.75">
      <c r="K2405" s="118"/>
      <c r="L2405" s="118"/>
      <c r="M2405" s="126"/>
      <c r="N2405" s="126"/>
      <c r="O2405" s="126"/>
      <c r="P2405" s="135"/>
      <c r="Q2405" s="135"/>
    </row>
    <row r="2406" spans="11:17" ht="12.75">
      <c r="K2406" s="118"/>
      <c r="L2406" s="118"/>
      <c r="M2406" s="126"/>
      <c r="N2406" s="126"/>
      <c r="O2406" s="126"/>
      <c r="P2406" s="135"/>
      <c r="Q2406" s="135"/>
    </row>
    <row r="2407" spans="11:17" ht="12.75">
      <c r="K2407" s="118"/>
      <c r="L2407" s="118"/>
      <c r="M2407" s="126"/>
      <c r="N2407" s="126"/>
      <c r="O2407" s="126"/>
      <c r="P2407" s="135"/>
      <c r="Q2407" s="135"/>
    </row>
    <row r="2408" spans="11:17" ht="12.75">
      <c r="K2408" s="118"/>
      <c r="L2408" s="118"/>
      <c r="M2408" s="126"/>
      <c r="N2408" s="126"/>
      <c r="O2408" s="126"/>
      <c r="P2408" s="135"/>
      <c r="Q2408" s="135"/>
    </row>
    <row r="2409" spans="11:17" ht="12.75">
      <c r="K2409" s="118"/>
      <c r="L2409" s="118"/>
      <c r="M2409" s="126"/>
      <c r="N2409" s="126"/>
      <c r="O2409" s="126"/>
      <c r="P2409" s="135"/>
      <c r="Q2409" s="135"/>
    </row>
    <row r="2410" spans="11:17" ht="12.75">
      <c r="K2410" s="118"/>
      <c r="L2410" s="118"/>
      <c r="M2410" s="126"/>
      <c r="N2410" s="126"/>
      <c r="O2410" s="126"/>
      <c r="P2410" s="135"/>
      <c r="Q2410" s="135"/>
    </row>
    <row r="2411" spans="11:17" ht="12.75">
      <c r="K2411" s="118"/>
      <c r="L2411" s="118"/>
      <c r="M2411" s="126"/>
      <c r="N2411" s="126"/>
      <c r="O2411" s="126"/>
      <c r="P2411" s="135"/>
      <c r="Q2411" s="135"/>
    </row>
    <row r="2412" spans="11:17" ht="12.75">
      <c r="K2412" s="118"/>
      <c r="L2412" s="118"/>
      <c r="M2412" s="126"/>
      <c r="N2412" s="126"/>
      <c r="O2412" s="126"/>
      <c r="P2412" s="135"/>
      <c r="Q2412" s="135"/>
    </row>
    <row r="2413" spans="11:17" ht="12.75">
      <c r="K2413" s="118"/>
      <c r="L2413" s="118"/>
      <c r="M2413" s="126"/>
      <c r="N2413" s="126"/>
      <c r="O2413" s="126"/>
      <c r="P2413" s="135"/>
      <c r="Q2413" s="135"/>
    </row>
    <row r="2414" spans="11:17" ht="12.75">
      <c r="K2414" s="118"/>
      <c r="L2414" s="118"/>
      <c r="M2414" s="126"/>
      <c r="N2414" s="126"/>
      <c r="O2414" s="126"/>
      <c r="P2414" s="135"/>
      <c r="Q2414" s="135"/>
    </row>
    <row r="2415" spans="11:17" ht="12.75">
      <c r="K2415" s="118"/>
      <c r="L2415" s="118"/>
      <c r="M2415" s="126"/>
      <c r="N2415" s="126"/>
      <c r="O2415" s="126"/>
      <c r="P2415" s="135"/>
      <c r="Q2415" s="135"/>
    </row>
    <row r="2416" spans="11:17" ht="12.75">
      <c r="K2416" s="118"/>
      <c r="L2416" s="118"/>
      <c r="M2416" s="126"/>
      <c r="N2416" s="126"/>
      <c r="O2416" s="126"/>
      <c r="P2416" s="135"/>
      <c r="Q2416" s="135"/>
    </row>
    <row r="2417" spans="11:17" ht="12.75">
      <c r="K2417" s="118"/>
      <c r="L2417" s="118"/>
      <c r="M2417" s="126"/>
      <c r="N2417" s="126"/>
      <c r="O2417" s="126"/>
      <c r="P2417" s="135"/>
      <c r="Q2417" s="135"/>
    </row>
    <row r="2418" spans="11:17" ht="12.75">
      <c r="K2418" s="118"/>
      <c r="L2418" s="118"/>
      <c r="M2418" s="126"/>
      <c r="N2418" s="126"/>
      <c r="O2418" s="126"/>
      <c r="P2418" s="135"/>
      <c r="Q2418" s="135"/>
    </row>
    <row r="2419" spans="11:17" ht="12.75">
      <c r="K2419" s="118"/>
      <c r="L2419" s="118"/>
      <c r="M2419" s="126"/>
      <c r="N2419" s="126"/>
      <c r="O2419" s="126"/>
      <c r="P2419" s="135"/>
      <c r="Q2419" s="135"/>
    </row>
    <row r="2420" spans="11:17" ht="12.75">
      <c r="K2420" s="118"/>
      <c r="L2420" s="118"/>
      <c r="M2420" s="126"/>
      <c r="N2420" s="126"/>
      <c r="O2420" s="126"/>
      <c r="P2420" s="135"/>
      <c r="Q2420" s="135"/>
    </row>
    <row r="2421" spans="11:17" ht="12.75">
      <c r="K2421" s="118"/>
      <c r="L2421" s="118"/>
      <c r="M2421" s="126"/>
      <c r="N2421" s="126"/>
      <c r="O2421" s="126"/>
      <c r="P2421" s="135"/>
      <c r="Q2421" s="135"/>
    </row>
    <row r="2422" spans="11:17" ht="12.75">
      <c r="K2422" s="118"/>
      <c r="L2422" s="118"/>
      <c r="M2422" s="126"/>
      <c r="N2422" s="126"/>
      <c r="O2422" s="126"/>
      <c r="P2422" s="135"/>
      <c r="Q2422" s="135"/>
    </row>
    <row r="2423" spans="11:17" ht="12.75">
      <c r="K2423" s="118"/>
      <c r="L2423" s="118"/>
      <c r="M2423" s="126"/>
      <c r="N2423" s="126"/>
      <c r="O2423" s="126"/>
      <c r="P2423" s="135"/>
      <c r="Q2423" s="135"/>
    </row>
    <row r="2424" spans="11:17" ht="12.75">
      <c r="K2424" s="118"/>
      <c r="L2424" s="118"/>
      <c r="M2424" s="126"/>
      <c r="N2424" s="126"/>
      <c r="O2424" s="126"/>
      <c r="P2424" s="135"/>
      <c r="Q2424" s="135"/>
    </row>
    <row r="2425" spans="11:17" ht="12.75">
      <c r="K2425" s="118"/>
      <c r="L2425" s="118"/>
      <c r="M2425" s="126"/>
      <c r="N2425" s="126"/>
      <c r="O2425" s="126"/>
      <c r="P2425" s="135"/>
      <c r="Q2425" s="135"/>
    </row>
    <row r="2426" spans="11:17" ht="12.75">
      <c r="K2426" s="118"/>
      <c r="L2426" s="118"/>
      <c r="M2426" s="126"/>
      <c r="N2426" s="126"/>
      <c r="O2426" s="126"/>
      <c r="P2426" s="135"/>
      <c r="Q2426" s="135"/>
    </row>
    <row r="2427" spans="11:17" ht="12.75">
      <c r="K2427" s="118"/>
      <c r="L2427" s="118"/>
      <c r="M2427" s="126"/>
      <c r="N2427" s="126"/>
      <c r="O2427" s="126"/>
      <c r="P2427" s="135"/>
      <c r="Q2427" s="135"/>
    </row>
    <row r="2428" spans="11:17" ht="12.75">
      <c r="K2428" s="118"/>
      <c r="L2428" s="118"/>
      <c r="M2428" s="126"/>
      <c r="N2428" s="126"/>
      <c r="O2428" s="126"/>
      <c r="P2428" s="135"/>
      <c r="Q2428" s="135"/>
    </row>
    <row r="2429" spans="11:17" ht="12.75">
      <c r="K2429" s="118"/>
      <c r="L2429" s="118"/>
      <c r="M2429" s="126"/>
      <c r="N2429" s="126"/>
      <c r="O2429" s="126"/>
      <c r="P2429" s="135"/>
      <c r="Q2429" s="135"/>
    </row>
    <row r="2430" spans="11:17" ht="12.75">
      <c r="K2430" s="118"/>
      <c r="L2430" s="118"/>
      <c r="M2430" s="126"/>
      <c r="N2430" s="126"/>
      <c r="O2430" s="126"/>
      <c r="P2430" s="135"/>
      <c r="Q2430" s="135"/>
    </row>
    <row r="2431" spans="11:17" ht="12.75">
      <c r="K2431" s="118"/>
      <c r="L2431" s="118"/>
      <c r="M2431" s="126"/>
      <c r="N2431" s="126"/>
      <c r="O2431" s="126"/>
      <c r="P2431" s="135"/>
      <c r="Q2431" s="135"/>
    </row>
    <row r="2432" spans="11:17" ht="12.75">
      <c r="K2432" s="118"/>
      <c r="L2432" s="118"/>
      <c r="M2432" s="126"/>
      <c r="N2432" s="126"/>
      <c r="O2432" s="126"/>
      <c r="P2432" s="135"/>
      <c r="Q2432" s="135"/>
    </row>
    <row r="2433" spans="11:17" ht="12.75">
      <c r="K2433" s="118"/>
      <c r="L2433" s="118"/>
      <c r="M2433" s="126"/>
      <c r="N2433" s="126"/>
      <c r="O2433" s="126"/>
      <c r="P2433" s="135"/>
      <c r="Q2433" s="135"/>
    </row>
    <row r="2434" spans="11:17" ht="12.75">
      <c r="K2434" s="118"/>
      <c r="L2434" s="118"/>
      <c r="M2434" s="126"/>
      <c r="N2434" s="126"/>
      <c r="O2434" s="126"/>
      <c r="P2434" s="135"/>
      <c r="Q2434" s="135"/>
    </row>
    <row r="2435" spans="11:17" ht="12.75">
      <c r="K2435" s="118"/>
      <c r="L2435" s="118"/>
      <c r="M2435" s="126"/>
      <c r="N2435" s="126"/>
      <c r="O2435" s="126"/>
      <c r="P2435" s="135"/>
      <c r="Q2435" s="135"/>
    </row>
    <row r="2436" spans="11:17" ht="12.75">
      <c r="K2436" s="118"/>
      <c r="L2436" s="118"/>
      <c r="M2436" s="126"/>
      <c r="N2436" s="126"/>
      <c r="O2436" s="126"/>
      <c r="P2436" s="135"/>
      <c r="Q2436" s="135"/>
    </row>
    <row r="2437" spans="11:17" ht="12.75">
      <c r="K2437" s="118"/>
      <c r="L2437" s="118"/>
      <c r="M2437" s="126"/>
      <c r="N2437" s="126"/>
      <c r="O2437" s="126"/>
      <c r="P2437" s="135"/>
      <c r="Q2437" s="135"/>
    </row>
    <row r="2438" spans="11:17" ht="12.75">
      <c r="K2438" s="118"/>
      <c r="L2438" s="118"/>
      <c r="M2438" s="126"/>
      <c r="N2438" s="126"/>
      <c r="O2438" s="126"/>
      <c r="P2438" s="135"/>
      <c r="Q2438" s="135"/>
    </row>
    <row r="2439" spans="11:17" ht="12.75">
      <c r="K2439" s="118"/>
      <c r="L2439" s="118"/>
      <c r="M2439" s="126"/>
      <c r="N2439" s="126"/>
      <c r="O2439" s="126"/>
      <c r="P2439" s="135"/>
      <c r="Q2439" s="135"/>
    </row>
    <row r="2440" spans="11:17" ht="12.75">
      <c r="K2440" s="118"/>
      <c r="L2440" s="118"/>
      <c r="M2440" s="126"/>
      <c r="N2440" s="126"/>
      <c r="O2440" s="126"/>
      <c r="P2440" s="135"/>
      <c r="Q2440" s="135"/>
    </row>
    <row r="2441" spans="11:17" ht="12.75">
      <c r="K2441" s="118"/>
      <c r="L2441" s="118"/>
      <c r="M2441" s="126"/>
      <c r="N2441" s="126"/>
      <c r="O2441" s="126"/>
      <c r="P2441" s="135"/>
      <c r="Q2441" s="135"/>
    </row>
    <row r="2442" spans="11:17" ht="12.75">
      <c r="K2442" s="118"/>
      <c r="L2442" s="118"/>
      <c r="M2442" s="126"/>
      <c r="N2442" s="126"/>
      <c r="O2442" s="126"/>
      <c r="P2442" s="135"/>
      <c r="Q2442" s="135"/>
    </row>
    <row r="2443" spans="11:17" ht="12.75">
      <c r="K2443" s="118"/>
      <c r="L2443" s="118"/>
      <c r="M2443" s="126"/>
      <c r="N2443" s="126"/>
      <c r="O2443" s="126"/>
      <c r="P2443" s="135"/>
      <c r="Q2443" s="135"/>
    </row>
    <row r="2444" spans="11:17" ht="12.75">
      <c r="K2444" s="118"/>
      <c r="L2444" s="118"/>
      <c r="M2444" s="126"/>
      <c r="N2444" s="126"/>
      <c r="O2444" s="126"/>
      <c r="P2444" s="135"/>
      <c r="Q2444" s="135"/>
    </row>
    <row r="2445" spans="11:17" ht="12.75">
      <c r="K2445" s="118"/>
      <c r="L2445" s="118"/>
      <c r="M2445" s="126"/>
      <c r="N2445" s="126"/>
      <c r="O2445" s="126"/>
      <c r="P2445" s="135"/>
      <c r="Q2445" s="135"/>
    </row>
    <row r="2446" spans="11:17" ht="12.75">
      <c r="K2446" s="118"/>
      <c r="L2446" s="118"/>
      <c r="M2446" s="126"/>
      <c r="N2446" s="126"/>
      <c r="O2446" s="126"/>
      <c r="P2446" s="135"/>
      <c r="Q2446" s="135"/>
    </row>
    <row r="2447" spans="11:17" ht="12.75">
      <c r="K2447" s="118"/>
      <c r="L2447" s="118"/>
      <c r="M2447" s="126"/>
      <c r="N2447" s="126"/>
      <c r="O2447" s="126"/>
      <c r="P2447" s="135"/>
      <c r="Q2447" s="135"/>
    </row>
    <row r="2448" spans="11:17" ht="12.75">
      <c r="K2448" s="118"/>
      <c r="L2448" s="118"/>
      <c r="M2448" s="126"/>
      <c r="N2448" s="126"/>
      <c r="O2448" s="126"/>
      <c r="P2448" s="135"/>
      <c r="Q2448" s="135"/>
    </row>
    <row r="2449" spans="11:17" ht="12.75">
      <c r="K2449" s="118"/>
      <c r="L2449" s="118"/>
      <c r="M2449" s="126"/>
      <c r="N2449" s="126"/>
      <c r="O2449" s="126"/>
      <c r="P2449" s="135"/>
      <c r="Q2449" s="135"/>
    </row>
    <row r="2450" spans="11:17" ht="12.75">
      <c r="K2450" s="118"/>
      <c r="L2450" s="118"/>
      <c r="M2450" s="126"/>
      <c r="N2450" s="126"/>
      <c r="O2450" s="126"/>
      <c r="P2450" s="135"/>
      <c r="Q2450" s="135"/>
    </row>
    <row r="2451" spans="11:17" ht="12.75">
      <c r="K2451" s="118"/>
      <c r="L2451" s="118"/>
      <c r="M2451" s="126"/>
      <c r="N2451" s="126"/>
      <c r="O2451" s="126"/>
      <c r="P2451" s="135"/>
      <c r="Q2451" s="135"/>
    </row>
    <row r="2452" spans="11:17" ht="12.75">
      <c r="K2452" s="118"/>
      <c r="L2452" s="118"/>
      <c r="M2452" s="126"/>
      <c r="N2452" s="126"/>
      <c r="O2452" s="126"/>
      <c r="P2452" s="135"/>
      <c r="Q2452" s="135"/>
    </row>
    <row r="2453" spans="11:17" ht="12.75">
      <c r="K2453" s="118"/>
      <c r="L2453" s="118"/>
      <c r="M2453" s="126"/>
      <c r="N2453" s="126"/>
      <c r="O2453" s="126"/>
      <c r="P2453" s="135"/>
      <c r="Q2453" s="135"/>
    </row>
    <row r="2454" spans="11:17" ht="12.75">
      <c r="K2454" s="118"/>
      <c r="L2454" s="118"/>
      <c r="M2454" s="126"/>
      <c r="N2454" s="126"/>
      <c r="O2454" s="126"/>
      <c r="P2454" s="135"/>
      <c r="Q2454" s="135"/>
    </row>
    <row r="2455" spans="11:17" ht="12.75">
      <c r="K2455" s="118"/>
      <c r="L2455" s="118"/>
      <c r="M2455" s="126"/>
      <c r="N2455" s="126"/>
      <c r="O2455" s="126"/>
      <c r="P2455" s="135"/>
      <c r="Q2455" s="135"/>
    </row>
    <row r="2456" spans="11:17" ht="12.75">
      <c r="K2456" s="118"/>
      <c r="L2456" s="118"/>
      <c r="M2456" s="126"/>
      <c r="N2456" s="126"/>
      <c r="O2456" s="126"/>
      <c r="P2456" s="135"/>
      <c r="Q2456" s="135"/>
    </row>
    <row r="2457" spans="11:17" ht="12.75">
      <c r="K2457" s="118"/>
      <c r="L2457" s="118"/>
      <c r="M2457" s="126"/>
      <c r="N2457" s="126"/>
      <c r="O2457" s="126"/>
      <c r="P2457" s="135"/>
      <c r="Q2457" s="135"/>
    </row>
    <row r="2458" spans="11:17" ht="12.75">
      <c r="K2458" s="118"/>
      <c r="L2458" s="118"/>
      <c r="M2458" s="126"/>
      <c r="N2458" s="126"/>
      <c r="O2458" s="126"/>
      <c r="P2458" s="135"/>
      <c r="Q2458" s="135"/>
    </row>
    <row r="2459" spans="11:17" ht="12.75">
      <c r="K2459" s="118"/>
      <c r="L2459" s="118"/>
      <c r="M2459" s="126"/>
      <c r="N2459" s="126"/>
      <c r="O2459" s="126"/>
      <c r="P2459" s="135"/>
      <c r="Q2459" s="135"/>
    </row>
    <row r="2460" spans="11:17" ht="12.75">
      <c r="K2460" s="118"/>
      <c r="L2460" s="118"/>
      <c r="M2460" s="126"/>
      <c r="N2460" s="126"/>
      <c r="O2460" s="126"/>
      <c r="P2460" s="135"/>
      <c r="Q2460" s="135"/>
    </row>
    <row r="2461" spans="11:17" ht="12.75">
      <c r="K2461" s="118"/>
      <c r="L2461" s="118"/>
      <c r="M2461" s="126"/>
      <c r="N2461" s="126"/>
      <c r="O2461" s="126"/>
      <c r="P2461" s="135"/>
      <c r="Q2461" s="135"/>
    </row>
    <row r="2462" spans="11:17" ht="12.75">
      <c r="K2462" s="118"/>
      <c r="L2462" s="118"/>
      <c r="M2462" s="126"/>
      <c r="N2462" s="126"/>
      <c r="O2462" s="126"/>
      <c r="P2462" s="135"/>
      <c r="Q2462" s="135"/>
    </row>
    <row r="2463" spans="11:17" ht="12.75">
      <c r="K2463" s="118"/>
      <c r="L2463" s="118"/>
      <c r="M2463" s="126"/>
      <c r="N2463" s="126"/>
      <c r="O2463" s="126"/>
      <c r="P2463" s="135"/>
      <c r="Q2463" s="135"/>
    </row>
    <row r="2464" spans="11:17" ht="12.75">
      <c r="K2464" s="118"/>
      <c r="L2464" s="118"/>
      <c r="M2464" s="126"/>
      <c r="N2464" s="126"/>
      <c r="O2464" s="126"/>
      <c r="P2464" s="135"/>
      <c r="Q2464" s="135"/>
    </row>
    <row r="2465" spans="11:17" ht="12.75">
      <c r="K2465" s="118"/>
      <c r="L2465" s="118"/>
      <c r="M2465" s="126"/>
      <c r="N2465" s="126"/>
      <c r="O2465" s="126"/>
      <c r="P2465" s="135"/>
      <c r="Q2465" s="135"/>
    </row>
    <row r="2466" spans="11:17" ht="12.75">
      <c r="K2466" s="118"/>
      <c r="L2466" s="118"/>
      <c r="M2466" s="126"/>
      <c r="N2466" s="126"/>
      <c r="O2466" s="126"/>
      <c r="P2466" s="135"/>
      <c r="Q2466" s="135"/>
    </row>
    <row r="2467" spans="11:17" ht="12.75">
      <c r="K2467" s="118"/>
      <c r="L2467" s="118"/>
      <c r="M2467" s="126"/>
      <c r="N2467" s="126"/>
      <c r="O2467" s="126"/>
      <c r="P2467" s="135"/>
      <c r="Q2467" s="135"/>
    </row>
    <row r="2468" spans="11:17" ht="12.75">
      <c r="K2468" s="118"/>
      <c r="L2468" s="118"/>
      <c r="M2468" s="126"/>
      <c r="N2468" s="126"/>
      <c r="O2468" s="126"/>
      <c r="P2468" s="135"/>
      <c r="Q2468" s="135"/>
    </row>
    <row r="2469" spans="11:17" ht="12.75">
      <c r="K2469" s="118"/>
      <c r="L2469" s="118"/>
      <c r="M2469" s="126"/>
      <c r="N2469" s="126"/>
      <c r="O2469" s="126"/>
      <c r="P2469" s="135"/>
      <c r="Q2469" s="135"/>
    </row>
    <row r="2470" spans="11:17" ht="12.75">
      <c r="K2470" s="118"/>
      <c r="L2470" s="118"/>
      <c r="M2470" s="126"/>
      <c r="N2470" s="126"/>
      <c r="O2470" s="126"/>
      <c r="P2470" s="135"/>
      <c r="Q2470" s="135"/>
    </row>
    <row r="2471" spans="11:17" ht="12.75">
      <c r="K2471" s="118"/>
      <c r="L2471" s="118"/>
      <c r="M2471" s="126"/>
      <c r="N2471" s="126"/>
      <c r="O2471" s="126"/>
      <c r="P2471" s="135"/>
      <c r="Q2471" s="135"/>
    </row>
    <row r="2472" spans="11:17" ht="12.75">
      <c r="K2472" s="118"/>
      <c r="L2472" s="118"/>
      <c r="M2472" s="126"/>
      <c r="N2472" s="126"/>
      <c r="O2472" s="126"/>
      <c r="P2472" s="135"/>
      <c r="Q2472" s="135"/>
    </row>
    <row r="2473" spans="11:17" ht="12.75">
      <c r="K2473" s="118"/>
      <c r="L2473" s="118"/>
      <c r="M2473" s="126"/>
      <c r="N2473" s="126"/>
      <c r="O2473" s="126"/>
      <c r="P2473" s="135"/>
      <c r="Q2473" s="135"/>
    </row>
    <row r="2474" spans="11:17" ht="12.75">
      <c r="K2474" s="118"/>
      <c r="L2474" s="118"/>
      <c r="M2474" s="126"/>
      <c r="N2474" s="126"/>
      <c r="O2474" s="126"/>
      <c r="P2474" s="135"/>
      <c r="Q2474" s="135"/>
    </row>
    <row r="2475" spans="11:17" ht="12.75">
      <c r="K2475" s="118"/>
      <c r="L2475" s="118"/>
      <c r="M2475" s="126"/>
      <c r="N2475" s="126"/>
      <c r="O2475" s="126"/>
      <c r="P2475" s="135"/>
      <c r="Q2475" s="135"/>
    </row>
    <row r="2476" spans="11:17" ht="12.75">
      <c r="K2476" s="118"/>
      <c r="L2476" s="118"/>
      <c r="M2476" s="126"/>
      <c r="N2476" s="126"/>
      <c r="O2476" s="126"/>
      <c r="P2476" s="135"/>
      <c r="Q2476" s="135"/>
    </row>
    <row r="2477" spans="11:17" ht="12.75">
      <c r="K2477" s="118"/>
      <c r="L2477" s="118"/>
      <c r="M2477" s="126"/>
      <c r="N2477" s="126"/>
      <c r="O2477" s="126"/>
      <c r="P2477" s="135"/>
      <c r="Q2477" s="135"/>
    </row>
    <row r="2478" spans="11:17" ht="12.75">
      <c r="K2478" s="118"/>
      <c r="L2478" s="118"/>
      <c r="M2478" s="126"/>
      <c r="N2478" s="126"/>
      <c r="O2478" s="126"/>
      <c r="P2478" s="135"/>
      <c r="Q2478" s="135"/>
    </row>
    <row r="2479" spans="11:17" ht="12.75">
      <c r="K2479" s="118"/>
      <c r="L2479" s="118"/>
      <c r="M2479" s="126"/>
      <c r="N2479" s="126"/>
      <c r="O2479" s="126"/>
      <c r="P2479" s="135"/>
      <c r="Q2479" s="135"/>
    </row>
    <row r="2480" spans="11:17" ht="12.75">
      <c r="K2480" s="118"/>
      <c r="L2480" s="118"/>
      <c r="M2480" s="126"/>
      <c r="N2480" s="126"/>
      <c r="O2480" s="126"/>
      <c r="P2480" s="135"/>
      <c r="Q2480" s="135"/>
    </row>
    <row r="2481" spans="11:17" ht="12.75">
      <c r="K2481" s="118"/>
      <c r="L2481" s="118"/>
      <c r="M2481" s="126"/>
      <c r="N2481" s="126"/>
      <c r="O2481" s="126"/>
      <c r="P2481" s="135"/>
      <c r="Q2481" s="135"/>
    </row>
    <row r="2482" spans="11:17" ht="12.75">
      <c r="K2482" s="118"/>
      <c r="L2482" s="118"/>
      <c r="M2482" s="126"/>
      <c r="N2482" s="126"/>
      <c r="O2482" s="126"/>
      <c r="P2482" s="135"/>
      <c r="Q2482" s="135"/>
    </row>
    <row r="2483" spans="11:17" ht="12.75">
      <c r="K2483" s="118"/>
      <c r="L2483" s="118"/>
      <c r="M2483" s="126"/>
      <c r="N2483" s="126"/>
      <c r="O2483" s="126"/>
      <c r="P2483" s="135"/>
      <c r="Q2483" s="135"/>
    </row>
    <row r="2484" spans="11:17" ht="12.75">
      <c r="K2484" s="118"/>
      <c r="L2484" s="118"/>
      <c r="M2484" s="126"/>
      <c r="N2484" s="126"/>
      <c r="O2484" s="126"/>
      <c r="P2484" s="135"/>
      <c r="Q2484" s="135"/>
    </row>
    <row r="2485" spans="11:17" ht="12.75">
      <c r="K2485" s="118"/>
      <c r="L2485" s="118"/>
      <c r="M2485" s="126"/>
      <c r="N2485" s="126"/>
      <c r="O2485" s="126"/>
      <c r="P2485" s="135"/>
      <c r="Q2485" s="135"/>
    </row>
    <row r="2486" spans="11:17" ht="12.75">
      <c r="K2486" s="118"/>
      <c r="L2486" s="118"/>
      <c r="M2486" s="126"/>
      <c r="N2486" s="126"/>
      <c r="O2486" s="126"/>
      <c r="P2486" s="135"/>
      <c r="Q2486" s="135"/>
    </row>
    <row r="2487" spans="11:17" ht="12.75">
      <c r="K2487" s="118"/>
      <c r="L2487" s="118"/>
      <c r="M2487" s="126"/>
      <c r="N2487" s="126"/>
      <c r="O2487" s="126"/>
      <c r="P2487" s="135"/>
      <c r="Q2487" s="135"/>
    </row>
    <row r="2488" spans="11:17" ht="12.75">
      <c r="K2488" s="118"/>
      <c r="L2488" s="118"/>
      <c r="M2488" s="126"/>
      <c r="N2488" s="126"/>
      <c r="O2488" s="126"/>
      <c r="P2488" s="135"/>
      <c r="Q2488" s="135"/>
    </row>
    <row r="2489" spans="11:17" ht="12.75">
      <c r="K2489" s="118"/>
      <c r="L2489" s="118"/>
      <c r="M2489" s="126"/>
      <c r="N2489" s="126"/>
      <c r="O2489" s="126"/>
      <c r="P2489" s="135"/>
      <c r="Q2489" s="135"/>
    </row>
    <row r="2490" spans="11:17" ht="12.75">
      <c r="K2490" s="118"/>
      <c r="L2490" s="118"/>
      <c r="M2490" s="126"/>
      <c r="N2490" s="126"/>
      <c r="O2490" s="126"/>
      <c r="P2490" s="135"/>
      <c r="Q2490" s="135"/>
    </row>
    <row r="2491" spans="11:17" ht="12.75">
      <c r="K2491" s="118"/>
      <c r="L2491" s="118"/>
      <c r="M2491" s="126"/>
      <c r="N2491" s="126"/>
      <c r="O2491" s="126"/>
      <c r="P2491" s="135"/>
      <c r="Q2491" s="135"/>
    </row>
    <row r="2492" spans="11:17" ht="12.75">
      <c r="K2492" s="118"/>
      <c r="L2492" s="118"/>
      <c r="M2492" s="126"/>
      <c r="N2492" s="126"/>
      <c r="O2492" s="126"/>
      <c r="P2492" s="135"/>
      <c r="Q2492" s="135"/>
    </row>
    <row r="2493" spans="11:17" ht="12.75">
      <c r="K2493" s="118"/>
      <c r="L2493" s="118"/>
      <c r="M2493" s="126"/>
      <c r="N2493" s="126"/>
      <c r="O2493" s="126"/>
      <c r="P2493" s="135"/>
      <c r="Q2493" s="135"/>
    </row>
    <row r="2494" spans="11:17" ht="12.75">
      <c r="K2494" s="118"/>
      <c r="L2494" s="118"/>
      <c r="M2494" s="126"/>
      <c r="N2494" s="126"/>
      <c r="O2494" s="126"/>
      <c r="P2494" s="135"/>
      <c r="Q2494" s="135"/>
    </row>
    <row r="2495" spans="11:17" ht="12.75">
      <c r="K2495" s="118"/>
      <c r="L2495" s="118"/>
      <c r="M2495" s="126"/>
      <c r="N2495" s="126"/>
      <c r="O2495" s="126"/>
      <c r="P2495" s="135"/>
      <c r="Q2495" s="135"/>
    </row>
    <row r="2496" spans="11:17" ht="12.75">
      <c r="K2496" s="118"/>
      <c r="L2496" s="118"/>
      <c r="M2496" s="126"/>
      <c r="N2496" s="126"/>
      <c r="O2496" s="126"/>
      <c r="P2496" s="135"/>
      <c r="Q2496" s="135"/>
    </row>
    <row r="2497" spans="11:17" ht="12.75">
      <c r="K2497" s="118"/>
      <c r="L2497" s="118"/>
      <c r="M2497" s="126"/>
      <c r="N2497" s="126"/>
      <c r="O2497" s="126"/>
      <c r="P2497" s="135"/>
      <c r="Q2497" s="135"/>
    </row>
    <row r="2498" spans="11:17" ht="12.75">
      <c r="K2498" s="118"/>
      <c r="L2498" s="118"/>
      <c r="M2498" s="126"/>
      <c r="N2498" s="126"/>
      <c r="O2498" s="126"/>
      <c r="P2498" s="135"/>
      <c r="Q2498" s="135"/>
    </row>
    <row r="2499" spans="11:17" ht="12.75">
      <c r="K2499" s="118"/>
      <c r="L2499" s="118"/>
      <c r="M2499" s="126"/>
      <c r="N2499" s="126"/>
      <c r="O2499" s="126"/>
      <c r="P2499" s="135"/>
      <c r="Q2499" s="135"/>
    </row>
    <row r="2500" spans="11:17" ht="12.75">
      <c r="K2500" s="118"/>
      <c r="L2500" s="118"/>
      <c r="M2500" s="126"/>
      <c r="N2500" s="126"/>
      <c r="O2500" s="126"/>
      <c r="P2500" s="135"/>
      <c r="Q2500" s="135"/>
    </row>
    <row r="2501" spans="11:17" ht="12.75">
      <c r="K2501" s="118"/>
      <c r="L2501" s="118"/>
      <c r="M2501" s="126"/>
      <c r="N2501" s="126"/>
      <c r="O2501" s="126"/>
      <c r="P2501" s="135"/>
      <c r="Q2501" s="135"/>
    </row>
    <row r="2502" spans="11:17" ht="12.75">
      <c r="K2502" s="118"/>
      <c r="L2502" s="118"/>
      <c r="M2502" s="126"/>
      <c r="N2502" s="126"/>
      <c r="O2502" s="126"/>
      <c r="P2502" s="135"/>
      <c r="Q2502" s="135"/>
    </row>
    <row r="2503" spans="11:17" ht="12.75">
      <c r="K2503" s="118"/>
      <c r="L2503" s="118"/>
      <c r="M2503" s="126"/>
      <c r="N2503" s="126"/>
      <c r="O2503" s="126"/>
      <c r="P2503" s="135"/>
      <c r="Q2503" s="135"/>
    </row>
    <row r="2504" spans="11:17" ht="12.75">
      <c r="K2504" s="118"/>
      <c r="L2504" s="118"/>
      <c r="M2504" s="126"/>
      <c r="N2504" s="126"/>
      <c r="O2504" s="126"/>
      <c r="P2504" s="135"/>
      <c r="Q2504" s="135"/>
    </row>
    <row r="2505" spans="11:17" ht="12.75">
      <c r="K2505" s="118"/>
      <c r="L2505" s="118"/>
      <c r="M2505" s="126"/>
      <c r="N2505" s="126"/>
      <c r="O2505" s="126"/>
      <c r="P2505" s="135"/>
      <c r="Q2505" s="135"/>
    </row>
    <row r="2506" spans="11:17" ht="12.75">
      <c r="K2506" s="118"/>
      <c r="L2506" s="118"/>
      <c r="M2506" s="126"/>
      <c r="N2506" s="126"/>
      <c r="O2506" s="126"/>
      <c r="P2506" s="135"/>
      <c r="Q2506" s="135"/>
    </row>
    <row r="2507" spans="11:17" ht="12.75">
      <c r="K2507" s="118"/>
      <c r="L2507" s="118"/>
      <c r="M2507" s="126"/>
      <c r="N2507" s="126"/>
      <c r="O2507" s="126"/>
      <c r="P2507" s="135"/>
      <c r="Q2507" s="135"/>
    </row>
    <row r="2508" spans="11:17" ht="12.75">
      <c r="K2508" s="118"/>
      <c r="L2508" s="118"/>
      <c r="M2508" s="126"/>
      <c r="N2508" s="126"/>
      <c r="O2508" s="126"/>
      <c r="P2508" s="135"/>
      <c r="Q2508" s="135"/>
    </row>
    <row r="2509" spans="11:17" ht="12.75">
      <c r="K2509" s="118"/>
      <c r="L2509" s="118"/>
      <c r="M2509" s="126"/>
      <c r="N2509" s="126"/>
      <c r="O2509" s="126"/>
      <c r="P2509" s="135"/>
      <c r="Q2509" s="135"/>
    </row>
    <row r="2510" spans="11:17" ht="12.75">
      <c r="K2510" s="118"/>
      <c r="L2510" s="118"/>
      <c r="M2510" s="126"/>
      <c r="N2510" s="126"/>
      <c r="O2510" s="126"/>
      <c r="P2510" s="135"/>
      <c r="Q2510" s="135"/>
    </row>
    <row r="2511" spans="11:17" ht="12.75">
      <c r="K2511" s="118"/>
      <c r="L2511" s="118"/>
      <c r="M2511" s="126"/>
      <c r="N2511" s="126"/>
      <c r="O2511" s="126"/>
      <c r="P2511" s="135"/>
      <c r="Q2511" s="135"/>
    </row>
    <row r="2512" spans="11:17" ht="12.75">
      <c r="K2512" s="118"/>
      <c r="L2512" s="118"/>
      <c r="M2512" s="126"/>
      <c r="N2512" s="126"/>
      <c r="O2512" s="126"/>
      <c r="P2512" s="135"/>
      <c r="Q2512" s="135"/>
    </row>
    <row r="2513" spans="11:17" ht="12.75">
      <c r="K2513" s="118"/>
      <c r="L2513" s="118"/>
      <c r="M2513" s="126"/>
      <c r="N2513" s="126"/>
      <c r="O2513" s="126"/>
      <c r="P2513" s="135"/>
      <c r="Q2513" s="135"/>
    </row>
    <row r="2514" spans="11:17" ht="12.75">
      <c r="K2514" s="118"/>
      <c r="L2514" s="118"/>
      <c r="M2514" s="126"/>
      <c r="N2514" s="126"/>
      <c r="O2514" s="126"/>
      <c r="P2514" s="135"/>
      <c r="Q2514" s="135"/>
    </row>
    <row r="2515" spans="11:17" ht="12.75">
      <c r="K2515" s="118"/>
      <c r="L2515" s="118"/>
      <c r="M2515" s="126"/>
      <c r="N2515" s="126"/>
      <c r="O2515" s="126"/>
      <c r="P2515" s="135"/>
      <c r="Q2515" s="135"/>
    </row>
    <row r="2516" spans="11:17" ht="12.75">
      <c r="K2516" s="118"/>
      <c r="L2516" s="118"/>
      <c r="M2516" s="126"/>
      <c r="N2516" s="126"/>
      <c r="O2516" s="126"/>
      <c r="P2516" s="135"/>
      <c r="Q2516" s="135"/>
    </row>
    <row r="2517" spans="11:17" ht="12.75">
      <c r="K2517" s="118"/>
      <c r="L2517" s="118"/>
      <c r="M2517" s="126"/>
      <c r="N2517" s="126"/>
      <c r="O2517" s="126"/>
      <c r="P2517" s="135"/>
      <c r="Q2517" s="135"/>
    </row>
    <row r="2518" spans="11:17" ht="12.75">
      <c r="K2518" s="118"/>
      <c r="L2518" s="118"/>
      <c r="M2518" s="126"/>
      <c r="N2518" s="126"/>
      <c r="O2518" s="126"/>
      <c r="P2518" s="135"/>
      <c r="Q2518" s="135"/>
    </row>
    <row r="2519" spans="11:17" ht="12.75">
      <c r="K2519" s="118"/>
      <c r="L2519" s="118"/>
      <c r="M2519" s="126"/>
      <c r="N2519" s="126"/>
      <c r="O2519" s="126"/>
      <c r="P2519" s="135"/>
      <c r="Q2519" s="135"/>
    </row>
    <row r="2520" spans="11:17" ht="12.75">
      <c r="K2520" s="118"/>
      <c r="L2520" s="118"/>
      <c r="M2520" s="126"/>
      <c r="N2520" s="126"/>
      <c r="O2520" s="126"/>
      <c r="P2520" s="135"/>
      <c r="Q2520" s="135"/>
    </row>
    <row r="2521" spans="11:17" ht="12.75">
      <c r="K2521" s="118"/>
      <c r="L2521" s="118"/>
      <c r="M2521" s="126"/>
      <c r="N2521" s="126"/>
      <c r="O2521" s="126"/>
      <c r="P2521" s="135"/>
      <c r="Q2521" s="135"/>
    </row>
    <row r="2522" spans="11:17" ht="12.75">
      <c r="K2522" s="118"/>
      <c r="L2522" s="118"/>
      <c r="M2522" s="126"/>
      <c r="N2522" s="126"/>
      <c r="O2522" s="126"/>
      <c r="P2522" s="135"/>
      <c r="Q2522" s="135"/>
    </row>
    <row r="2523" spans="11:17" ht="12.75">
      <c r="K2523" s="118"/>
      <c r="L2523" s="118"/>
      <c r="M2523" s="126"/>
      <c r="N2523" s="126"/>
      <c r="O2523" s="126"/>
      <c r="P2523" s="135"/>
      <c r="Q2523" s="135"/>
    </row>
    <row r="2524" spans="11:17" ht="12.75">
      <c r="K2524" s="118"/>
      <c r="L2524" s="118"/>
      <c r="M2524" s="126"/>
      <c r="N2524" s="126"/>
      <c r="O2524" s="126"/>
      <c r="P2524" s="135"/>
      <c r="Q2524" s="135"/>
    </row>
    <row r="2525" spans="11:17" ht="12.75">
      <c r="K2525" s="118"/>
      <c r="L2525" s="118"/>
      <c r="M2525" s="126"/>
      <c r="N2525" s="126"/>
      <c r="O2525" s="126"/>
      <c r="P2525" s="135"/>
      <c r="Q2525" s="135"/>
    </row>
    <row r="2526" spans="11:17" ht="12.75">
      <c r="K2526" s="118"/>
      <c r="L2526" s="118"/>
      <c r="M2526" s="126"/>
      <c r="N2526" s="126"/>
      <c r="O2526" s="126"/>
      <c r="P2526" s="135"/>
      <c r="Q2526" s="135"/>
    </row>
    <row r="2527" spans="11:17" ht="12.75">
      <c r="K2527" s="118"/>
      <c r="L2527" s="118"/>
      <c r="M2527" s="126"/>
      <c r="N2527" s="126"/>
      <c r="O2527" s="126"/>
      <c r="P2527" s="135"/>
      <c r="Q2527" s="135"/>
    </row>
    <row r="2528" spans="11:17" ht="12.75">
      <c r="K2528" s="118"/>
      <c r="L2528" s="118"/>
      <c r="M2528" s="126"/>
      <c r="N2528" s="126"/>
      <c r="O2528" s="126"/>
      <c r="P2528" s="135"/>
      <c r="Q2528" s="135"/>
    </row>
    <row r="2529" spans="11:17" ht="12.75">
      <c r="K2529" s="118"/>
      <c r="L2529" s="118"/>
      <c r="M2529" s="126"/>
      <c r="N2529" s="126"/>
      <c r="O2529" s="126"/>
      <c r="P2529" s="135"/>
      <c r="Q2529" s="135"/>
    </row>
    <row r="2530" spans="11:17" ht="12.75">
      <c r="K2530" s="118"/>
      <c r="L2530" s="118"/>
      <c r="M2530" s="126"/>
      <c r="N2530" s="126"/>
      <c r="O2530" s="126"/>
      <c r="P2530" s="135"/>
      <c r="Q2530" s="135"/>
    </row>
    <row r="2531" spans="11:17" ht="12.75">
      <c r="K2531" s="118"/>
      <c r="L2531" s="118"/>
      <c r="M2531" s="126"/>
      <c r="N2531" s="126"/>
      <c r="O2531" s="126"/>
      <c r="P2531" s="135"/>
      <c r="Q2531" s="135"/>
    </row>
    <row r="2532" spans="11:17" ht="12.75">
      <c r="K2532" s="118"/>
      <c r="L2532" s="118"/>
      <c r="M2532" s="126"/>
      <c r="N2532" s="126"/>
      <c r="O2532" s="126"/>
      <c r="P2532" s="135"/>
      <c r="Q2532" s="135"/>
    </row>
    <row r="2533" spans="11:17" ht="12.75">
      <c r="K2533" s="118"/>
      <c r="L2533" s="118"/>
      <c r="M2533" s="126"/>
      <c r="N2533" s="126"/>
      <c r="O2533" s="126"/>
      <c r="P2533" s="135"/>
      <c r="Q2533" s="135"/>
    </row>
    <row r="2534" spans="11:17" ht="12.75">
      <c r="K2534" s="118"/>
      <c r="L2534" s="118"/>
      <c r="M2534" s="126"/>
      <c r="N2534" s="126"/>
      <c r="O2534" s="126"/>
      <c r="P2534" s="135"/>
      <c r="Q2534" s="135"/>
    </row>
    <row r="2535" spans="11:17" ht="12.75">
      <c r="K2535" s="118"/>
      <c r="L2535" s="118"/>
      <c r="M2535" s="126"/>
      <c r="N2535" s="126"/>
      <c r="O2535" s="126"/>
      <c r="P2535" s="135"/>
      <c r="Q2535" s="135"/>
    </row>
    <row r="2536" spans="11:17" ht="12.75">
      <c r="K2536" s="118"/>
      <c r="L2536" s="118"/>
      <c r="M2536" s="126"/>
      <c r="N2536" s="126"/>
      <c r="O2536" s="126"/>
      <c r="P2536" s="135"/>
      <c r="Q2536" s="135"/>
    </row>
    <row r="2537" spans="11:17" ht="12.75">
      <c r="K2537" s="118"/>
      <c r="L2537" s="118"/>
      <c r="M2537" s="126"/>
      <c r="N2537" s="126"/>
      <c r="O2537" s="126"/>
      <c r="P2537" s="135"/>
      <c r="Q2537" s="135"/>
    </row>
    <row r="2538" spans="11:17" ht="12.75">
      <c r="K2538" s="118"/>
      <c r="L2538" s="118"/>
      <c r="M2538" s="126"/>
      <c r="N2538" s="126"/>
      <c r="O2538" s="126"/>
      <c r="P2538" s="135"/>
      <c r="Q2538" s="135"/>
    </row>
    <row r="2539" spans="11:17" ht="12.75">
      <c r="K2539" s="118"/>
      <c r="L2539" s="118"/>
      <c r="M2539" s="126"/>
      <c r="N2539" s="126"/>
      <c r="O2539" s="126"/>
      <c r="P2539" s="135"/>
      <c r="Q2539" s="135"/>
    </row>
    <row r="2540" spans="11:17" ht="12.75">
      <c r="K2540" s="118"/>
      <c r="L2540" s="118"/>
      <c r="M2540" s="126"/>
      <c r="N2540" s="126"/>
      <c r="O2540" s="126"/>
      <c r="P2540" s="135"/>
      <c r="Q2540" s="135"/>
    </row>
    <row r="2541" spans="11:17" ht="12.75">
      <c r="K2541" s="118"/>
      <c r="L2541" s="118"/>
      <c r="M2541" s="126"/>
      <c r="N2541" s="126"/>
      <c r="O2541" s="126"/>
      <c r="P2541" s="135"/>
      <c r="Q2541" s="135"/>
    </row>
    <row r="2542" spans="11:17" ht="12.75">
      <c r="K2542" s="118"/>
      <c r="L2542" s="118"/>
      <c r="M2542" s="126"/>
      <c r="N2542" s="126"/>
      <c r="O2542" s="126"/>
      <c r="P2542" s="135"/>
      <c r="Q2542" s="135"/>
    </row>
    <row r="2543" spans="11:17" ht="12.75">
      <c r="K2543" s="118"/>
      <c r="L2543" s="118"/>
      <c r="M2543" s="126"/>
      <c r="N2543" s="126"/>
      <c r="O2543" s="126"/>
      <c r="P2543" s="135"/>
      <c r="Q2543" s="135"/>
    </row>
    <row r="2544" spans="11:17" ht="12.75">
      <c r="K2544" s="118"/>
      <c r="L2544" s="118"/>
      <c r="M2544" s="126"/>
      <c r="N2544" s="126"/>
      <c r="O2544" s="126"/>
      <c r="P2544" s="135"/>
      <c r="Q2544" s="135"/>
    </row>
    <row r="2545" spans="11:17" ht="12.75">
      <c r="K2545" s="118"/>
      <c r="L2545" s="118"/>
      <c r="M2545" s="126"/>
      <c r="N2545" s="126"/>
      <c r="O2545" s="126"/>
      <c r="P2545" s="135"/>
      <c r="Q2545" s="135"/>
    </row>
    <row r="2546" spans="11:17" ht="12.75">
      <c r="K2546" s="118"/>
      <c r="L2546" s="118"/>
      <c r="M2546" s="126"/>
      <c r="N2546" s="126"/>
      <c r="O2546" s="126"/>
      <c r="P2546" s="135"/>
      <c r="Q2546" s="135"/>
    </row>
    <row r="2547" spans="11:17" ht="12.75">
      <c r="K2547" s="118"/>
      <c r="L2547" s="118"/>
      <c r="M2547" s="126"/>
      <c r="N2547" s="126"/>
      <c r="O2547" s="126"/>
      <c r="P2547" s="135"/>
      <c r="Q2547" s="135"/>
    </row>
    <row r="2548" spans="11:17" ht="12.75">
      <c r="K2548" s="118"/>
      <c r="L2548" s="118"/>
      <c r="M2548" s="126"/>
      <c r="N2548" s="126"/>
      <c r="O2548" s="126"/>
      <c r="P2548" s="135"/>
      <c r="Q2548" s="135"/>
    </row>
    <row r="2549" spans="11:17" ht="12.75">
      <c r="K2549" s="118"/>
      <c r="L2549" s="118"/>
      <c r="M2549" s="126"/>
      <c r="N2549" s="126"/>
      <c r="O2549" s="126"/>
      <c r="P2549" s="135"/>
      <c r="Q2549" s="135"/>
    </row>
    <row r="2550" spans="11:17" ht="12.75">
      <c r="K2550" s="118"/>
      <c r="L2550" s="118"/>
      <c r="M2550" s="126"/>
      <c r="N2550" s="126"/>
      <c r="O2550" s="126"/>
      <c r="P2550" s="135"/>
      <c r="Q2550" s="135"/>
    </row>
    <row r="2551" spans="11:17" ht="12.75">
      <c r="K2551" s="118"/>
      <c r="L2551" s="118"/>
      <c r="M2551" s="126"/>
      <c r="N2551" s="126"/>
      <c r="O2551" s="126"/>
      <c r="P2551" s="135"/>
      <c r="Q2551" s="135"/>
    </row>
    <row r="2552" spans="11:17" ht="12.75">
      <c r="K2552" s="118"/>
      <c r="L2552" s="118"/>
      <c r="M2552" s="126"/>
      <c r="N2552" s="126"/>
      <c r="O2552" s="126"/>
      <c r="P2552" s="135"/>
      <c r="Q2552" s="135"/>
    </row>
    <row r="2553" spans="11:17" ht="12.75">
      <c r="K2553" s="118"/>
      <c r="L2553" s="118"/>
      <c r="M2553" s="126"/>
      <c r="N2553" s="126"/>
      <c r="O2553" s="126"/>
      <c r="P2553" s="135"/>
      <c r="Q2553" s="135"/>
    </row>
    <row r="2554" spans="11:17" ht="12.75">
      <c r="K2554" s="118"/>
      <c r="L2554" s="118"/>
      <c r="M2554" s="126"/>
      <c r="N2554" s="126"/>
      <c r="O2554" s="126"/>
      <c r="P2554" s="135"/>
      <c r="Q2554" s="135"/>
    </row>
    <row r="2555" spans="11:17" ht="12.75">
      <c r="K2555" s="118"/>
      <c r="L2555" s="118"/>
      <c r="M2555" s="126"/>
      <c r="N2555" s="126"/>
      <c r="O2555" s="126"/>
      <c r="P2555" s="135"/>
      <c r="Q2555" s="135"/>
    </row>
    <row r="2556" spans="11:17" ht="12.75">
      <c r="K2556" s="118"/>
      <c r="L2556" s="118"/>
      <c r="M2556" s="126"/>
      <c r="N2556" s="126"/>
      <c r="O2556" s="126"/>
      <c r="P2556" s="135"/>
      <c r="Q2556" s="135"/>
    </row>
    <row r="2557" spans="11:17" ht="12.75">
      <c r="K2557" s="118"/>
      <c r="L2557" s="118"/>
      <c r="M2557" s="126"/>
      <c r="N2557" s="126"/>
      <c r="O2557" s="126"/>
      <c r="P2557" s="135"/>
      <c r="Q2557" s="135"/>
    </row>
    <row r="2558" spans="11:17" ht="12.75">
      <c r="K2558" s="118"/>
      <c r="L2558" s="118"/>
      <c r="M2558" s="126"/>
      <c r="N2558" s="126"/>
      <c r="O2558" s="126"/>
      <c r="P2558" s="135"/>
      <c r="Q2558" s="135"/>
    </row>
    <row r="2559" spans="11:17" ht="12.75">
      <c r="K2559" s="118"/>
      <c r="L2559" s="118"/>
      <c r="M2559" s="126"/>
      <c r="N2559" s="126"/>
      <c r="O2559" s="126"/>
      <c r="P2559" s="135"/>
      <c r="Q2559" s="135"/>
    </row>
    <row r="2560" spans="11:17" ht="12.75">
      <c r="K2560" s="118"/>
      <c r="L2560" s="118"/>
      <c r="M2560" s="126"/>
      <c r="N2560" s="126"/>
      <c r="O2560" s="126"/>
      <c r="P2560" s="135"/>
      <c r="Q2560" s="135"/>
    </row>
    <row r="2561" spans="11:17" ht="12.75">
      <c r="K2561" s="118"/>
      <c r="L2561" s="118"/>
      <c r="M2561" s="126"/>
      <c r="N2561" s="126"/>
      <c r="O2561" s="126"/>
      <c r="P2561" s="135"/>
      <c r="Q2561" s="135"/>
    </row>
    <row r="2562" spans="11:17" ht="12.75">
      <c r="K2562" s="118"/>
      <c r="L2562" s="118"/>
      <c r="M2562" s="126"/>
      <c r="N2562" s="126"/>
      <c r="O2562" s="126"/>
      <c r="P2562" s="135"/>
      <c r="Q2562" s="135"/>
    </row>
    <row r="2563" spans="11:17" ht="12.75">
      <c r="K2563" s="118"/>
      <c r="L2563" s="118"/>
      <c r="M2563" s="126"/>
      <c r="N2563" s="126"/>
      <c r="O2563" s="126"/>
      <c r="P2563" s="135"/>
      <c r="Q2563" s="135"/>
    </row>
    <row r="2564" spans="11:17" ht="12.75">
      <c r="K2564" s="118"/>
      <c r="L2564" s="118"/>
      <c r="M2564" s="126"/>
      <c r="N2564" s="126"/>
      <c r="O2564" s="126"/>
      <c r="P2564" s="135"/>
      <c r="Q2564" s="135"/>
    </row>
    <row r="2565" spans="11:17" ht="12.75">
      <c r="K2565" s="118"/>
      <c r="L2565" s="118"/>
      <c r="M2565" s="126"/>
      <c r="N2565" s="126"/>
      <c r="O2565" s="126"/>
      <c r="P2565" s="135"/>
      <c r="Q2565" s="135"/>
    </row>
    <row r="2566" spans="11:17" ht="12.75">
      <c r="K2566" s="118"/>
      <c r="L2566" s="118"/>
      <c r="M2566" s="126"/>
      <c r="N2566" s="126"/>
      <c r="O2566" s="126"/>
      <c r="P2566" s="135"/>
      <c r="Q2566" s="135"/>
    </row>
    <row r="2567" spans="11:17" ht="12.75">
      <c r="K2567" s="118"/>
      <c r="L2567" s="118"/>
      <c r="M2567" s="126"/>
      <c r="N2567" s="126"/>
      <c r="O2567" s="126"/>
      <c r="P2567" s="135"/>
      <c r="Q2567" s="135"/>
    </row>
    <row r="2568" spans="11:17" ht="12.75">
      <c r="K2568" s="118"/>
      <c r="L2568" s="118"/>
      <c r="M2568" s="126"/>
      <c r="N2568" s="126"/>
      <c r="O2568" s="126"/>
      <c r="P2568" s="135"/>
      <c r="Q2568" s="135"/>
    </row>
    <row r="2569" spans="11:17" ht="12.75">
      <c r="K2569" s="118"/>
      <c r="L2569" s="118"/>
      <c r="M2569" s="126"/>
      <c r="N2569" s="126"/>
      <c r="O2569" s="126"/>
      <c r="P2569" s="135"/>
      <c r="Q2569" s="135"/>
    </row>
    <row r="2570" spans="11:17" ht="12.75">
      <c r="K2570" s="118"/>
      <c r="L2570" s="118"/>
      <c r="M2570" s="126"/>
      <c r="N2570" s="126"/>
      <c r="O2570" s="126"/>
      <c r="P2570" s="135"/>
      <c r="Q2570" s="135"/>
    </row>
    <row r="2571" spans="11:17" ht="12.75">
      <c r="K2571" s="118"/>
      <c r="L2571" s="118"/>
      <c r="M2571" s="126"/>
      <c r="N2571" s="126"/>
      <c r="O2571" s="126"/>
      <c r="P2571" s="135"/>
      <c r="Q2571" s="135"/>
    </row>
    <row r="2572" spans="11:17" ht="12.75">
      <c r="K2572" s="118"/>
      <c r="L2572" s="118"/>
      <c r="M2572" s="126"/>
      <c r="N2572" s="126"/>
      <c r="O2572" s="126"/>
      <c r="P2572" s="135"/>
      <c r="Q2572" s="135"/>
    </row>
    <row r="2573" spans="11:17" ht="12.75">
      <c r="K2573" s="118"/>
      <c r="L2573" s="118"/>
      <c r="M2573" s="126"/>
      <c r="N2573" s="126"/>
      <c r="O2573" s="126"/>
      <c r="P2573" s="135"/>
      <c r="Q2573" s="135"/>
    </row>
    <row r="2574" spans="11:17" ht="12.75">
      <c r="K2574" s="118"/>
      <c r="L2574" s="118"/>
      <c r="M2574" s="126"/>
      <c r="N2574" s="126"/>
      <c r="O2574" s="126"/>
      <c r="P2574" s="135"/>
      <c r="Q2574" s="135"/>
    </row>
    <row r="2575" spans="11:17" ht="12.75">
      <c r="K2575" s="118"/>
      <c r="L2575" s="118"/>
      <c r="M2575" s="126"/>
      <c r="N2575" s="126"/>
      <c r="O2575" s="126"/>
      <c r="P2575" s="135"/>
      <c r="Q2575" s="135"/>
    </row>
    <row r="2576" spans="11:17" ht="12.75">
      <c r="K2576" s="118"/>
      <c r="L2576" s="118"/>
      <c r="M2576" s="126"/>
      <c r="N2576" s="126"/>
      <c r="O2576" s="126"/>
      <c r="P2576" s="135"/>
      <c r="Q2576" s="135"/>
    </row>
    <row r="2577" spans="11:17" ht="12.75">
      <c r="K2577" s="118"/>
      <c r="L2577" s="118"/>
      <c r="M2577" s="126"/>
      <c r="N2577" s="126"/>
      <c r="O2577" s="126"/>
      <c r="P2577" s="135"/>
      <c r="Q2577" s="135"/>
    </row>
    <row r="2578" spans="11:17" ht="12.75">
      <c r="K2578" s="118"/>
      <c r="L2578" s="118"/>
      <c r="M2578" s="126"/>
      <c r="N2578" s="126"/>
      <c r="O2578" s="126"/>
      <c r="P2578" s="135"/>
      <c r="Q2578" s="135"/>
    </row>
    <row r="2579" spans="11:17" ht="12.75">
      <c r="K2579" s="118"/>
      <c r="L2579" s="118"/>
      <c r="M2579" s="126"/>
      <c r="N2579" s="126"/>
      <c r="O2579" s="126"/>
      <c r="P2579" s="135"/>
      <c r="Q2579" s="135"/>
    </row>
    <row r="2580" spans="11:17" ht="12.75">
      <c r="K2580" s="118"/>
      <c r="L2580" s="118"/>
      <c r="M2580" s="126"/>
      <c r="N2580" s="126"/>
      <c r="O2580" s="126"/>
      <c r="P2580" s="135"/>
      <c r="Q2580" s="135"/>
    </row>
    <row r="2581" spans="11:17" ht="12.75">
      <c r="K2581" s="118"/>
      <c r="L2581" s="118"/>
      <c r="M2581" s="126"/>
      <c r="N2581" s="126"/>
      <c r="O2581" s="126"/>
      <c r="P2581" s="135"/>
      <c r="Q2581" s="135"/>
    </row>
    <row r="2582" spans="11:17" ht="12.75">
      <c r="K2582" s="118"/>
      <c r="L2582" s="118"/>
      <c r="M2582" s="126"/>
      <c r="N2582" s="126"/>
      <c r="O2582" s="126"/>
      <c r="P2582" s="135"/>
      <c r="Q2582" s="135"/>
    </row>
    <row r="2583" spans="11:17" ht="12.75">
      <c r="K2583" s="118"/>
      <c r="L2583" s="118"/>
      <c r="M2583" s="126"/>
      <c r="N2583" s="126"/>
      <c r="O2583" s="126"/>
      <c r="P2583" s="135"/>
      <c r="Q2583" s="135"/>
    </row>
    <row r="2584" spans="11:17" ht="12.75">
      <c r="K2584" s="118"/>
      <c r="L2584" s="118"/>
      <c r="M2584" s="126"/>
      <c r="N2584" s="126"/>
      <c r="O2584" s="126"/>
      <c r="P2584" s="135"/>
      <c r="Q2584" s="135"/>
    </row>
    <row r="2585" spans="11:17" ht="12.75">
      <c r="K2585" s="118"/>
      <c r="L2585" s="118"/>
      <c r="M2585" s="126"/>
      <c r="N2585" s="126"/>
      <c r="O2585" s="126"/>
      <c r="P2585" s="135"/>
      <c r="Q2585" s="135"/>
    </row>
    <row r="2586" spans="11:17" ht="12.75">
      <c r="K2586" s="118"/>
      <c r="L2586" s="118"/>
      <c r="M2586" s="126"/>
      <c r="N2586" s="126"/>
      <c r="O2586" s="126"/>
      <c r="P2586" s="135"/>
      <c r="Q2586" s="135"/>
    </row>
    <row r="2587" spans="11:17" ht="12.75">
      <c r="K2587" s="118"/>
      <c r="L2587" s="118"/>
      <c r="M2587" s="126"/>
      <c r="N2587" s="126"/>
      <c r="O2587" s="126"/>
      <c r="P2587" s="135"/>
      <c r="Q2587" s="135"/>
    </row>
    <row r="2588" spans="11:17" ht="12.75">
      <c r="K2588" s="118"/>
      <c r="L2588" s="118"/>
      <c r="M2588" s="126"/>
      <c r="N2588" s="126"/>
      <c r="O2588" s="126"/>
      <c r="P2588" s="135"/>
      <c r="Q2588" s="135"/>
    </row>
    <row r="2589" spans="11:17" ht="12.75">
      <c r="K2589" s="118"/>
      <c r="L2589" s="118"/>
      <c r="M2589" s="126"/>
      <c r="N2589" s="126"/>
      <c r="O2589" s="126"/>
      <c r="P2589" s="135"/>
      <c r="Q2589" s="135"/>
    </row>
    <row r="2590" spans="11:17" ht="12.75">
      <c r="K2590" s="118"/>
      <c r="L2590" s="118"/>
      <c r="M2590" s="126"/>
      <c r="N2590" s="126"/>
      <c r="O2590" s="126"/>
      <c r="P2590" s="135"/>
      <c r="Q2590" s="135"/>
    </row>
    <row r="2591" spans="11:17" ht="12.75">
      <c r="K2591" s="118"/>
      <c r="L2591" s="118"/>
      <c r="M2591" s="126"/>
      <c r="N2591" s="126"/>
      <c r="O2591" s="126"/>
      <c r="P2591" s="135"/>
      <c r="Q2591" s="135"/>
    </row>
    <row r="2592" spans="11:17" ht="12.75">
      <c r="K2592" s="118"/>
      <c r="L2592" s="118"/>
      <c r="M2592" s="126"/>
      <c r="N2592" s="126"/>
      <c r="O2592" s="126"/>
      <c r="P2592" s="135"/>
      <c r="Q2592" s="135"/>
    </row>
    <row r="2593" spans="11:17" ht="12.75">
      <c r="K2593" s="118"/>
      <c r="L2593" s="118"/>
      <c r="M2593" s="126"/>
      <c r="N2593" s="126"/>
      <c r="O2593" s="126"/>
      <c r="P2593" s="135"/>
      <c r="Q2593" s="135"/>
    </row>
    <row r="2594" spans="11:17" ht="12.75">
      <c r="K2594" s="118"/>
      <c r="L2594" s="118"/>
      <c r="M2594" s="126"/>
      <c r="N2594" s="126"/>
      <c r="O2594" s="126"/>
      <c r="P2594" s="135"/>
      <c r="Q2594" s="135"/>
    </row>
    <row r="2595" spans="11:17" ht="12.75">
      <c r="K2595" s="118"/>
      <c r="L2595" s="118"/>
      <c r="M2595" s="126"/>
      <c r="N2595" s="126"/>
      <c r="O2595" s="126"/>
      <c r="P2595" s="135"/>
      <c r="Q2595" s="135"/>
    </row>
    <row r="2596" spans="11:17" ht="12.75">
      <c r="K2596" s="118"/>
      <c r="L2596" s="118"/>
      <c r="M2596" s="126"/>
      <c r="N2596" s="126"/>
      <c r="O2596" s="126"/>
      <c r="P2596" s="135"/>
      <c r="Q2596" s="135"/>
    </row>
    <row r="2597" spans="11:17" ht="12.75">
      <c r="K2597" s="118"/>
      <c r="L2597" s="118"/>
      <c r="M2597" s="126"/>
      <c r="N2597" s="126"/>
      <c r="O2597" s="126"/>
      <c r="P2597" s="135"/>
      <c r="Q2597" s="135"/>
    </row>
    <row r="2598" spans="11:17" ht="12.75">
      <c r="K2598" s="118"/>
      <c r="L2598" s="118"/>
      <c r="M2598" s="126"/>
      <c r="N2598" s="126"/>
      <c r="O2598" s="126"/>
      <c r="P2598" s="135"/>
      <c r="Q2598" s="135"/>
    </row>
    <row r="2599" spans="11:17" ht="12.75">
      <c r="K2599" s="118"/>
      <c r="L2599" s="118"/>
      <c r="M2599" s="126"/>
      <c r="N2599" s="126"/>
      <c r="O2599" s="126"/>
      <c r="P2599" s="135"/>
      <c r="Q2599" s="135"/>
    </row>
    <row r="2600" spans="11:17" ht="12.75">
      <c r="K2600" s="118"/>
      <c r="L2600" s="118"/>
      <c r="M2600" s="126"/>
      <c r="N2600" s="126"/>
      <c r="O2600" s="126"/>
      <c r="P2600" s="135"/>
      <c r="Q2600" s="135"/>
    </row>
    <row r="2601" spans="11:17" ht="12.75">
      <c r="K2601" s="118"/>
      <c r="L2601" s="118"/>
      <c r="M2601" s="126"/>
      <c r="N2601" s="126"/>
      <c r="O2601" s="126"/>
      <c r="P2601" s="135"/>
      <c r="Q2601" s="135"/>
    </row>
    <row r="2602" spans="11:17" ht="12.75">
      <c r="K2602" s="118"/>
      <c r="L2602" s="118"/>
      <c r="M2602" s="126"/>
      <c r="N2602" s="126"/>
      <c r="O2602" s="126"/>
      <c r="P2602" s="135"/>
      <c r="Q2602" s="135"/>
    </row>
    <row r="2603" spans="11:17" ht="12.75">
      <c r="K2603" s="118"/>
      <c r="L2603" s="118"/>
      <c r="M2603" s="126"/>
      <c r="N2603" s="126"/>
      <c r="O2603" s="126"/>
      <c r="P2603" s="135"/>
      <c r="Q2603" s="135"/>
    </row>
    <row r="2604" spans="11:17" ht="12.75">
      <c r="K2604" s="118"/>
      <c r="L2604" s="118"/>
      <c r="M2604" s="126"/>
      <c r="N2604" s="126"/>
      <c r="O2604" s="126"/>
      <c r="P2604" s="135"/>
      <c r="Q2604" s="135"/>
    </row>
    <row r="2605" spans="11:17" ht="12.75">
      <c r="K2605" s="118"/>
      <c r="L2605" s="118"/>
      <c r="M2605" s="126"/>
      <c r="N2605" s="126"/>
      <c r="O2605" s="126"/>
      <c r="P2605" s="135"/>
      <c r="Q2605" s="135"/>
    </row>
    <row r="2606" spans="11:17" ht="12.75">
      <c r="K2606" s="118"/>
      <c r="L2606" s="118"/>
      <c r="M2606" s="126"/>
      <c r="N2606" s="126"/>
      <c r="O2606" s="126"/>
      <c r="P2606" s="135"/>
      <c r="Q2606" s="135"/>
    </row>
    <row r="2607" spans="11:17" ht="12.75">
      <c r="K2607" s="118"/>
      <c r="L2607" s="118"/>
      <c r="M2607" s="126"/>
      <c r="N2607" s="126"/>
      <c r="O2607" s="126"/>
      <c r="P2607" s="135"/>
      <c r="Q2607" s="135"/>
    </row>
    <row r="2608" spans="11:17" ht="12.75">
      <c r="K2608" s="118"/>
      <c r="L2608" s="118"/>
      <c r="M2608" s="126"/>
      <c r="N2608" s="126"/>
      <c r="O2608" s="126"/>
      <c r="P2608" s="135"/>
      <c r="Q2608" s="135"/>
    </row>
    <row r="2609" spans="11:17" ht="12.75">
      <c r="K2609" s="118"/>
      <c r="L2609" s="118"/>
      <c r="M2609" s="126"/>
      <c r="N2609" s="126"/>
      <c r="O2609" s="126"/>
      <c r="P2609" s="135"/>
      <c r="Q2609" s="135"/>
    </row>
    <row r="2610" spans="11:17" ht="12.75">
      <c r="K2610" s="118"/>
      <c r="L2610" s="118"/>
      <c r="M2610" s="126"/>
      <c r="N2610" s="126"/>
      <c r="O2610" s="126"/>
      <c r="P2610" s="135"/>
      <c r="Q2610" s="135"/>
    </row>
    <row r="2611" spans="11:17" ht="12.75">
      <c r="K2611" s="118"/>
      <c r="L2611" s="118"/>
      <c r="M2611" s="126"/>
      <c r="N2611" s="126"/>
      <c r="O2611" s="126"/>
      <c r="P2611" s="135"/>
      <c r="Q2611" s="135"/>
    </row>
    <row r="2612" spans="11:17" ht="12.75">
      <c r="K2612" s="118"/>
      <c r="L2612" s="118"/>
      <c r="M2612" s="126"/>
      <c r="N2612" s="126"/>
      <c r="O2612" s="126"/>
      <c r="P2612" s="135"/>
      <c r="Q2612" s="135"/>
    </row>
    <row r="2613" spans="11:17" ht="12.75">
      <c r="K2613" s="118"/>
      <c r="L2613" s="118"/>
      <c r="M2613" s="126"/>
      <c r="N2613" s="126"/>
      <c r="O2613" s="126"/>
      <c r="P2613" s="135"/>
      <c r="Q2613" s="135"/>
    </row>
    <row r="2614" spans="11:17" ht="12.75">
      <c r="K2614" s="118"/>
      <c r="L2614" s="118"/>
      <c r="M2614" s="126"/>
      <c r="N2614" s="126"/>
      <c r="O2614" s="126"/>
      <c r="P2614" s="135"/>
      <c r="Q2614" s="135"/>
    </row>
    <row r="2615" spans="11:17" ht="12.75">
      <c r="K2615" s="118"/>
      <c r="L2615" s="118"/>
      <c r="M2615" s="126"/>
      <c r="N2615" s="126"/>
      <c r="O2615" s="126"/>
      <c r="P2615" s="135"/>
      <c r="Q2615" s="135"/>
    </row>
    <row r="2616" spans="11:17" ht="12.75">
      <c r="K2616" s="118"/>
      <c r="L2616" s="118"/>
      <c r="M2616" s="126"/>
      <c r="N2616" s="126"/>
      <c r="O2616" s="126"/>
      <c r="P2616" s="135"/>
      <c r="Q2616" s="135"/>
    </row>
    <row r="2617" spans="11:17" ht="12.75">
      <c r="K2617" s="118"/>
      <c r="L2617" s="118"/>
      <c r="M2617" s="126"/>
      <c r="N2617" s="126"/>
      <c r="O2617" s="126"/>
      <c r="P2617" s="135"/>
      <c r="Q2617" s="135"/>
    </row>
    <row r="2618" spans="11:17" ht="12.75">
      <c r="K2618" s="118"/>
      <c r="L2618" s="118"/>
      <c r="M2618" s="126"/>
      <c r="N2618" s="126"/>
      <c r="O2618" s="126"/>
      <c r="P2618" s="135"/>
      <c r="Q2618" s="135"/>
    </row>
    <row r="2619" spans="11:17" ht="12.75">
      <c r="K2619" s="118"/>
      <c r="L2619" s="118"/>
      <c r="M2619" s="126"/>
      <c r="N2619" s="126"/>
      <c r="O2619" s="126"/>
      <c r="P2619" s="135"/>
      <c r="Q2619" s="135"/>
    </row>
    <row r="2620" spans="11:17" ht="12.75">
      <c r="K2620" s="118"/>
      <c r="L2620" s="118"/>
      <c r="M2620" s="126"/>
      <c r="N2620" s="126"/>
      <c r="O2620" s="126"/>
      <c r="P2620" s="135"/>
      <c r="Q2620" s="135"/>
    </row>
    <row r="2621" spans="11:17" ht="12.75">
      <c r="K2621" s="118"/>
      <c r="L2621" s="118"/>
      <c r="M2621" s="126"/>
      <c r="N2621" s="126"/>
      <c r="O2621" s="126"/>
      <c r="P2621" s="135"/>
      <c r="Q2621" s="135"/>
    </row>
    <row r="2622" spans="11:17" ht="12.75">
      <c r="K2622" s="118"/>
      <c r="L2622" s="118"/>
      <c r="M2622" s="126"/>
      <c r="N2622" s="126"/>
      <c r="O2622" s="126"/>
      <c r="P2622" s="135"/>
      <c r="Q2622" s="135"/>
    </row>
    <row r="2623" spans="11:17" ht="12.75">
      <c r="K2623" s="118"/>
      <c r="L2623" s="118"/>
      <c r="M2623" s="126"/>
      <c r="N2623" s="126"/>
      <c r="O2623" s="126"/>
      <c r="P2623" s="135"/>
      <c r="Q2623" s="135"/>
    </row>
    <row r="2624" spans="11:17" ht="12.75">
      <c r="K2624" s="118"/>
      <c r="L2624" s="118"/>
      <c r="M2624" s="126"/>
      <c r="N2624" s="126"/>
      <c r="O2624" s="126"/>
      <c r="P2624" s="135"/>
      <c r="Q2624" s="135"/>
    </row>
    <row r="2625" spans="11:17" ht="12.75">
      <c r="K2625" s="118"/>
      <c r="L2625" s="118"/>
      <c r="M2625" s="126"/>
      <c r="N2625" s="126"/>
      <c r="O2625" s="126"/>
      <c r="P2625" s="135"/>
      <c r="Q2625" s="135"/>
    </row>
    <row r="2626" spans="11:17" ht="12.75">
      <c r="K2626" s="118"/>
      <c r="L2626" s="118"/>
      <c r="M2626" s="126"/>
      <c r="N2626" s="126"/>
      <c r="O2626" s="126"/>
      <c r="P2626" s="135"/>
      <c r="Q2626" s="135"/>
    </row>
    <row r="2627" spans="11:17" ht="12.75">
      <c r="K2627" s="118"/>
      <c r="L2627" s="118"/>
      <c r="M2627" s="126"/>
      <c r="N2627" s="126"/>
      <c r="O2627" s="126"/>
      <c r="P2627" s="135"/>
      <c r="Q2627" s="135"/>
    </row>
    <row r="2628" spans="11:17" ht="12.75">
      <c r="K2628" s="118"/>
      <c r="L2628" s="118"/>
      <c r="M2628" s="126"/>
      <c r="N2628" s="126"/>
      <c r="O2628" s="126"/>
      <c r="P2628" s="135"/>
      <c r="Q2628" s="135"/>
    </row>
    <row r="2629" spans="11:17" ht="12.75">
      <c r="K2629" s="118"/>
      <c r="L2629" s="118"/>
      <c r="M2629" s="126"/>
      <c r="N2629" s="126"/>
      <c r="O2629" s="126"/>
      <c r="P2629" s="135"/>
      <c r="Q2629" s="135"/>
    </row>
    <row r="2630" spans="11:17" ht="12.75">
      <c r="K2630" s="118"/>
      <c r="L2630" s="118"/>
      <c r="M2630" s="126"/>
      <c r="N2630" s="126"/>
      <c r="O2630" s="126"/>
      <c r="P2630" s="135"/>
      <c r="Q2630" s="135"/>
    </row>
    <row r="2631" spans="11:17" ht="12.75">
      <c r="K2631" s="118"/>
      <c r="L2631" s="118"/>
      <c r="M2631" s="126"/>
      <c r="N2631" s="126"/>
      <c r="O2631" s="126"/>
      <c r="P2631" s="135"/>
      <c r="Q2631" s="135"/>
    </row>
    <row r="2632" spans="11:17" ht="12.75">
      <c r="K2632" s="118"/>
      <c r="L2632" s="118"/>
      <c r="M2632" s="126"/>
      <c r="N2632" s="126"/>
      <c r="O2632" s="126"/>
      <c r="P2632" s="135"/>
      <c r="Q2632" s="135"/>
    </row>
    <row r="2633" spans="11:17" ht="12.75">
      <c r="K2633" s="118"/>
      <c r="L2633" s="118"/>
      <c r="M2633" s="126"/>
      <c r="N2633" s="126"/>
      <c r="O2633" s="126"/>
      <c r="P2633" s="135"/>
      <c r="Q2633" s="135"/>
    </row>
    <row r="2634" spans="11:17" ht="12.75">
      <c r="K2634" s="118"/>
      <c r="L2634" s="118"/>
      <c r="M2634" s="126"/>
      <c r="N2634" s="126"/>
      <c r="O2634" s="126"/>
      <c r="P2634" s="135"/>
      <c r="Q2634" s="135"/>
    </row>
    <row r="2635" spans="11:17" ht="12.75">
      <c r="K2635" s="118"/>
      <c r="L2635" s="118"/>
      <c r="M2635" s="126"/>
      <c r="N2635" s="126"/>
      <c r="O2635" s="126"/>
      <c r="P2635" s="135"/>
      <c r="Q2635" s="135"/>
    </row>
    <row r="2636" spans="11:17" ht="12.75">
      <c r="K2636" s="118"/>
      <c r="L2636" s="118"/>
      <c r="M2636" s="126"/>
      <c r="N2636" s="126"/>
      <c r="O2636" s="126"/>
      <c r="P2636" s="135"/>
      <c r="Q2636" s="135"/>
    </row>
    <row r="2637" spans="11:17" ht="12.75">
      <c r="K2637" s="118"/>
      <c r="L2637" s="118"/>
      <c r="M2637" s="126"/>
      <c r="N2637" s="126"/>
      <c r="O2637" s="126"/>
      <c r="P2637" s="135"/>
      <c r="Q2637" s="135"/>
    </row>
    <row r="2638" spans="11:17" ht="12.75">
      <c r="K2638" s="118"/>
      <c r="L2638" s="118"/>
      <c r="M2638" s="126"/>
      <c r="N2638" s="126"/>
      <c r="O2638" s="126"/>
      <c r="P2638" s="135"/>
      <c r="Q2638" s="135"/>
    </row>
    <row r="2639" spans="11:17" ht="12.75">
      <c r="K2639" s="118"/>
      <c r="L2639" s="118"/>
      <c r="M2639" s="126"/>
      <c r="N2639" s="126"/>
      <c r="O2639" s="126"/>
      <c r="P2639" s="135"/>
      <c r="Q2639" s="135"/>
    </row>
    <row r="2640" spans="11:17" ht="12.75">
      <c r="K2640" s="118"/>
      <c r="L2640" s="118"/>
      <c r="M2640" s="126"/>
      <c r="N2640" s="126"/>
      <c r="O2640" s="126"/>
      <c r="P2640" s="135"/>
      <c r="Q2640" s="135"/>
    </row>
    <row r="2641" spans="11:17" ht="12.75">
      <c r="K2641" s="118"/>
      <c r="L2641" s="118"/>
      <c r="M2641" s="126"/>
      <c r="N2641" s="126"/>
      <c r="O2641" s="126"/>
      <c r="P2641" s="135"/>
      <c r="Q2641" s="135"/>
    </row>
    <row r="2642" spans="11:17" ht="12.75">
      <c r="K2642" s="118"/>
      <c r="L2642" s="118"/>
      <c r="M2642" s="126"/>
      <c r="N2642" s="126"/>
      <c r="O2642" s="126"/>
      <c r="P2642" s="135"/>
      <c r="Q2642" s="135"/>
    </row>
    <row r="2643" spans="11:17" ht="12.75">
      <c r="K2643" s="118"/>
      <c r="L2643" s="118"/>
      <c r="M2643" s="126"/>
      <c r="N2643" s="126"/>
      <c r="O2643" s="126"/>
      <c r="P2643" s="135"/>
      <c r="Q2643" s="135"/>
    </row>
    <row r="2644" spans="11:17" ht="12.75">
      <c r="K2644" s="118"/>
      <c r="L2644" s="118"/>
      <c r="M2644" s="126"/>
      <c r="N2644" s="126"/>
      <c r="O2644" s="126"/>
      <c r="P2644" s="135"/>
      <c r="Q2644" s="135"/>
    </row>
    <row r="2645" spans="11:17" ht="12.75">
      <c r="K2645" s="118"/>
      <c r="L2645" s="118"/>
      <c r="M2645" s="126"/>
      <c r="N2645" s="126"/>
      <c r="O2645" s="126"/>
      <c r="P2645" s="135"/>
      <c r="Q2645" s="135"/>
    </row>
    <row r="2646" spans="11:17" ht="12.75">
      <c r="K2646" s="118"/>
      <c r="L2646" s="118"/>
      <c r="M2646" s="126"/>
      <c r="N2646" s="126"/>
      <c r="O2646" s="126"/>
      <c r="P2646" s="135"/>
      <c r="Q2646" s="135"/>
    </row>
    <row r="2647" spans="11:17" ht="12.75">
      <c r="K2647" s="118"/>
      <c r="L2647" s="118"/>
      <c r="M2647" s="126"/>
      <c r="N2647" s="126"/>
      <c r="O2647" s="126"/>
      <c r="P2647" s="135"/>
      <c r="Q2647" s="135"/>
    </row>
    <row r="2648" spans="11:17" ht="12.75">
      <c r="K2648" s="118"/>
      <c r="L2648" s="118"/>
      <c r="M2648" s="126"/>
      <c r="N2648" s="126"/>
      <c r="O2648" s="126"/>
      <c r="P2648" s="135"/>
      <c r="Q2648" s="135"/>
    </row>
    <row r="2649" spans="11:17" ht="12.75">
      <c r="K2649" s="118"/>
      <c r="L2649" s="118"/>
      <c r="M2649" s="126"/>
      <c r="N2649" s="126"/>
      <c r="O2649" s="126"/>
      <c r="P2649" s="135"/>
      <c r="Q2649" s="135"/>
    </row>
    <row r="2650" spans="11:17" ht="12.75">
      <c r="K2650" s="118"/>
      <c r="L2650" s="118"/>
      <c r="M2650" s="126"/>
      <c r="N2650" s="126"/>
      <c r="O2650" s="126"/>
      <c r="P2650" s="135"/>
      <c r="Q2650" s="135"/>
    </row>
    <row r="2651" spans="11:17" ht="12.75">
      <c r="K2651" s="118"/>
      <c r="L2651" s="118"/>
      <c r="M2651" s="126"/>
      <c r="N2651" s="126"/>
      <c r="O2651" s="126"/>
      <c r="P2651" s="135"/>
      <c r="Q2651" s="135"/>
    </row>
    <row r="2652" spans="11:17" ht="12.75">
      <c r="K2652" s="118"/>
      <c r="L2652" s="118"/>
      <c r="M2652" s="126"/>
      <c r="N2652" s="126"/>
      <c r="O2652" s="126"/>
      <c r="P2652" s="135"/>
      <c r="Q2652" s="135"/>
    </row>
    <row r="2653" spans="11:17" ht="12.75">
      <c r="K2653" s="118"/>
      <c r="L2653" s="118"/>
      <c r="M2653" s="126"/>
      <c r="N2653" s="126"/>
      <c r="O2653" s="126"/>
      <c r="P2653" s="135"/>
      <c r="Q2653" s="135"/>
    </row>
    <row r="2654" spans="11:17" ht="12.75">
      <c r="K2654" s="118"/>
      <c r="L2654" s="118"/>
      <c r="M2654" s="126"/>
      <c r="N2654" s="126"/>
      <c r="O2654" s="126"/>
      <c r="P2654" s="135"/>
      <c r="Q2654" s="135"/>
    </row>
    <row r="2655" spans="11:17" ht="12.75">
      <c r="K2655" s="118"/>
      <c r="L2655" s="118"/>
      <c r="M2655" s="126"/>
      <c r="N2655" s="126"/>
      <c r="O2655" s="126"/>
      <c r="P2655" s="135"/>
      <c r="Q2655" s="135"/>
    </row>
    <row r="2656" spans="11:17" ht="12.75">
      <c r="K2656" s="118"/>
      <c r="L2656" s="118"/>
      <c r="M2656" s="126"/>
      <c r="N2656" s="126"/>
      <c r="O2656" s="126"/>
      <c r="P2656" s="135"/>
      <c r="Q2656" s="135"/>
    </row>
    <row r="2657" spans="11:17" ht="12.75">
      <c r="K2657" s="118"/>
      <c r="L2657" s="118"/>
      <c r="M2657" s="126"/>
      <c r="N2657" s="126"/>
      <c r="O2657" s="126"/>
      <c r="P2657" s="135"/>
      <c r="Q2657" s="135"/>
    </row>
    <row r="2658" spans="11:17" ht="12.75">
      <c r="K2658" s="118"/>
      <c r="L2658" s="118"/>
      <c r="M2658" s="126"/>
      <c r="N2658" s="126"/>
      <c r="O2658" s="126"/>
      <c r="P2658" s="135"/>
      <c r="Q2658" s="135"/>
    </row>
    <row r="2659" spans="11:17" ht="12.75">
      <c r="K2659" s="118"/>
      <c r="L2659" s="118"/>
      <c r="M2659" s="126"/>
      <c r="N2659" s="126"/>
      <c r="O2659" s="126"/>
      <c r="P2659" s="135"/>
      <c r="Q2659" s="135"/>
    </row>
    <row r="2660" spans="11:17" ht="12.75">
      <c r="K2660" s="118"/>
      <c r="L2660" s="118"/>
      <c r="M2660" s="126"/>
      <c r="N2660" s="126"/>
      <c r="O2660" s="126"/>
      <c r="P2660" s="135"/>
      <c r="Q2660" s="135"/>
    </row>
    <row r="2661" spans="11:17" ht="12.75">
      <c r="K2661" s="118"/>
      <c r="L2661" s="118"/>
      <c r="M2661" s="126"/>
      <c r="N2661" s="126"/>
      <c r="O2661" s="126"/>
      <c r="P2661" s="135"/>
      <c r="Q2661" s="135"/>
    </row>
    <row r="2662" spans="11:17" ht="12.75">
      <c r="K2662" s="118"/>
      <c r="L2662" s="118"/>
      <c r="M2662" s="126"/>
      <c r="N2662" s="126"/>
      <c r="O2662" s="126"/>
      <c r="P2662" s="135"/>
      <c r="Q2662" s="135"/>
    </row>
    <row r="2663" spans="11:17" ht="12.75">
      <c r="K2663" s="118"/>
      <c r="L2663" s="118"/>
      <c r="M2663" s="126"/>
      <c r="N2663" s="126"/>
      <c r="O2663" s="126"/>
      <c r="P2663" s="135"/>
      <c r="Q2663" s="135"/>
    </row>
    <row r="2664" spans="11:17" ht="12.75">
      <c r="K2664" s="118"/>
      <c r="L2664" s="118"/>
      <c r="M2664" s="126"/>
      <c r="N2664" s="126"/>
      <c r="O2664" s="126"/>
      <c r="P2664" s="135"/>
      <c r="Q2664" s="135"/>
    </row>
    <row r="2665" spans="11:17" ht="12.75">
      <c r="K2665" s="118"/>
      <c r="L2665" s="118"/>
      <c r="M2665" s="126"/>
      <c r="N2665" s="126"/>
      <c r="O2665" s="126"/>
      <c r="P2665" s="135"/>
      <c r="Q2665" s="135"/>
    </row>
    <row r="2666" spans="11:17" ht="12.75">
      <c r="K2666" s="118"/>
      <c r="L2666" s="118"/>
      <c r="M2666" s="126"/>
      <c r="N2666" s="126"/>
      <c r="O2666" s="126"/>
      <c r="P2666" s="135"/>
      <c r="Q2666" s="135"/>
    </row>
    <row r="2667" spans="11:17" ht="12.75">
      <c r="K2667" s="118"/>
      <c r="L2667" s="118"/>
      <c r="M2667" s="126"/>
      <c r="N2667" s="126"/>
      <c r="O2667" s="126"/>
      <c r="P2667" s="135"/>
      <c r="Q2667" s="135"/>
    </row>
    <row r="2668" spans="11:17" ht="12.75">
      <c r="K2668" s="118"/>
      <c r="L2668" s="118"/>
      <c r="M2668" s="126"/>
      <c r="N2668" s="126"/>
      <c r="O2668" s="126"/>
      <c r="P2668" s="135"/>
      <c r="Q2668" s="135"/>
    </row>
    <row r="2669" spans="11:17" ht="12.75">
      <c r="K2669" s="118"/>
      <c r="L2669" s="118"/>
      <c r="M2669" s="126"/>
      <c r="N2669" s="126"/>
      <c r="O2669" s="126"/>
      <c r="P2669" s="135"/>
      <c r="Q2669" s="135"/>
    </row>
    <row r="2670" spans="11:17" ht="12.75">
      <c r="K2670" s="118"/>
      <c r="L2670" s="118"/>
      <c r="M2670" s="126"/>
      <c r="N2670" s="126"/>
      <c r="O2670" s="126"/>
      <c r="P2670" s="135"/>
      <c r="Q2670" s="135"/>
    </row>
    <row r="2671" spans="11:17" ht="12.75">
      <c r="K2671" s="118"/>
      <c r="L2671" s="118"/>
      <c r="M2671" s="126"/>
      <c r="N2671" s="126"/>
      <c r="O2671" s="126"/>
      <c r="P2671" s="135"/>
      <c r="Q2671" s="135"/>
    </row>
    <row r="2672" spans="11:17" ht="12.75">
      <c r="K2672" s="118"/>
      <c r="L2672" s="118"/>
      <c r="M2672" s="126"/>
      <c r="N2672" s="126"/>
      <c r="O2672" s="126"/>
      <c r="P2672" s="135"/>
      <c r="Q2672" s="135"/>
    </row>
    <row r="2673" spans="11:17" ht="12.75">
      <c r="K2673" s="118"/>
      <c r="L2673" s="118"/>
      <c r="M2673" s="126"/>
      <c r="N2673" s="126"/>
      <c r="O2673" s="126"/>
      <c r="P2673" s="135"/>
      <c r="Q2673" s="135"/>
    </row>
    <row r="2674" spans="11:17" ht="12.75">
      <c r="K2674" s="118"/>
      <c r="L2674" s="118"/>
      <c r="M2674" s="126"/>
      <c r="N2674" s="126"/>
      <c r="O2674" s="126"/>
      <c r="P2674" s="135"/>
      <c r="Q2674" s="135"/>
    </row>
    <row r="2675" spans="11:17" ht="12.75">
      <c r="K2675" s="118"/>
      <c r="L2675" s="118"/>
      <c r="M2675" s="126"/>
      <c r="N2675" s="126"/>
      <c r="O2675" s="126"/>
      <c r="P2675" s="135"/>
      <c r="Q2675" s="135"/>
    </row>
    <row r="2676" spans="11:17" ht="12.75">
      <c r="K2676" s="118"/>
      <c r="L2676" s="118"/>
      <c r="M2676" s="126"/>
      <c r="N2676" s="126"/>
      <c r="O2676" s="126"/>
      <c r="P2676" s="135"/>
      <c r="Q2676" s="135"/>
    </row>
    <row r="2677" spans="11:17" ht="12.75">
      <c r="K2677" s="118"/>
      <c r="L2677" s="118"/>
      <c r="M2677" s="126"/>
      <c r="N2677" s="126"/>
      <c r="O2677" s="126"/>
      <c r="P2677" s="135"/>
      <c r="Q2677" s="135"/>
    </row>
    <row r="2678" spans="11:17" ht="12.75">
      <c r="K2678" s="118"/>
      <c r="L2678" s="118"/>
      <c r="M2678" s="126"/>
      <c r="N2678" s="126"/>
      <c r="O2678" s="126"/>
      <c r="P2678" s="135"/>
      <c r="Q2678" s="135"/>
    </row>
    <row r="2679" spans="11:17" ht="12.75">
      <c r="K2679" s="118"/>
      <c r="L2679" s="118"/>
      <c r="M2679" s="126"/>
      <c r="N2679" s="126"/>
      <c r="O2679" s="126"/>
      <c r="P2679" s="135"/>
      <c r="Q2679" s="135"/>
    </row>
    <row r="2680" spans="11:17" ht="12.75">
      <c r="K2680" s="118"/>
      <c r="L2680" s="118"/>
      <c r="M2680" s="126"/>
      <c r="N2680" s="126"/>
      <c r="O2680" s="126"/>
      <c r="P2680" s="135"/>
      <c r="Q2680" s="135"/>
    </row>
    <row r="2681" spans="11:17" ht="12.75">
      <c r="K2681" s="118"/>
      <c r="L2681" s="118"/>
      <c r="M2681" s="126"/>
      <c r="N2681" s="126"/>
      <c r="O2681" s="126"/>
      <c r="P2681" s="135"/>
      <c r="Q2681" s="135"/>
    </row>
    <row r="2682" spans="11:17" ht="12.75">
      <c r="K2682" s="118"/>
      <c r="L2682" s="118"/>
      <c r="M2682" s="126"/>
      <c r="N2682" s="126"/>
      <c r="O2682" s="126"/>
      <c r="P2682" s="135"/>
      <c r="Q2682" s="135"/>
    </row>
    <row r="2683" spans="11:17" ht="12.75">
      <c r="K2683" s="118"/>
      <c r="L2683" s="118"/>
      <c r="M2683" s="126"/>
      <c r="N2683" s="126"/>
      <c r="O2683" s="126"/>
      <c r="P2683" s="135"/>
      <c r="Q2683" s="135"/>
    </row>
    <row r="2684" spans="11:17" ht="12.75">
      <c r="K2684" s="118"/>
      <c r="L2684" s="118"/>
      <c r="M2684" s="126"/>
      <c r="N2684" s="126"/>
      <c r="O2684" s="126"/>
      <c r="P2684" s="135"/>
      <c r="Q2684" s="135"/>
    </row>
    <row r="2685" spans="11:17" ht="12.75">
      <c r="K2685" s="118"/>
      <c r="L2685" s="118"/>
      <c r="M2685" s="126"/>
      <c r="N2685" s="126"/>
      <c r="O2685" s="126"/>
      <c r="P2685" s="135"/>
      <c r="Q2685" s="135"/>
    </row>
    <row r="2686" spans="11:17" ht="12.75">
      <c r="K2686" s="118"/>
      <c r="L2686" s="118"/>
      <c r="M2686" s="126"/>
      <c r="N2686" s="126"/>
      <c r="O2686" s="126"/>
      <c r="P2686" s="135"/>
      <c r="Q2686" s="135"/>
    </row>
    <row r="2687" spans="11:17" ht="12.75">
      <c r="K2687" s="118"/>
      <c r="L2687" s="118"/>
      <c r="M2687" s="126"/>
      <c r="N2687" s="126"/>
      <c r="O2687" s="126"/>
      <c r="P2687" s="135"/>
      <c r="Q2687" s="135"/>
    </row>
    <row r="2688" spans="11:17" ht="12.75">
      <c r="K2688" s="118"/>
      <c r="L2688" s="118"/>
      <c r="M2688" s="126"/>
      <c r="N2688" s="126"/>
      <c r="O2688" s="126"/>
      <c r="P2688" s="135"/>
      <c r="Q2688" s="135"/>
    </row>
    <row r="2689" spans="11:17" ht="12.75">
      <c r="K2689" s="118"/>
      <c r="L2689" s="118"/>
      <c r="M2689" s="126"/>
      <c r="N2689" s="126"/>
      <c r="O2689" s="126"/>
      <c r="P2689" s="135"/>
      <c r="Q2689" s="135"/>
    </row>
    <row r="2690" spans="11:17" ht="12.75">
      <c r="K2690" s="118"/>
      <c r="L2690" s="118"/>
      <c r="M2690" s="126"/>
      <c r="N2690" s="126"/>
      <c r="O2690" s="126"/>
      <c r="P2690" s="135"/>
      <c r="Q2690" s="135"/>
    </row>
    <row r="2691" spans="11:17" ht="12.75">
      <c r="K2691" s="118"/>
      <c r="L2691" s="118"/>
      <c r="M2691" s="126"/>
      <c r="N2691" s="126"/>
      <c r="O2691" s="126"/>
      <c r="P2691" s="135"/>
      <c r="Q2691" s="135"/>
    </row>
    <row r="2692" spans="11:17" ht="12.75">
      <c r="K2692" s="118"/>
      <c r="L2692" s="118"/>
      <c r="M2692" s="126"/>
      <c r="N2692" s="126"/>
      <c r="O2692" s="126"/>
      <c r="P2692" s="135"/>
      <c r="Q2692" s="135"/>
    </row>
    <row r="2693" spans="11:17" ht="12.75">
      <c r="K2693" s="118"/>
      <c r="L2693" s="118"/>
      <c r="M2693" s="126"/>
      <c r="N2693" s="126"/>
      <c r="O2693" s="126"/>
      <c r="P2693" s="135"/>
      <c r="Q2693" s="135"/>
    </row>
    <row r="2694" spans="11:17" ht="12.75">
      <c r="K2694" s="118"/>
      <c r="L2694" s="118"/>
      <c r="M2694" s="126"/>
      <c r="N2694" s="126"/>
      <c r="O2694" s="126"/>
      <c r="P2694" s="135"/>
      <c r="Q2694" s="135"/>
    </row>
    <row r="2695" spans="11:17" ht="12.75">
      <c r="K2695" s="118"/>
      <c r="L2695" s="118"/>
      <c r="M2695" s="126"/>
      <c r="N2695" s="126"/>
      <c r="O2695" s="126"/>
      <c r="P2695" s="135"/>
      <c r="Q2695" s="135"/>
    </row>
    <row r="2696" spans="11:17" ht="12.75">
      <c r="K2696" s="118"/>
      <c r="L2696" s="118"/>
      <c r="M2696" s="126"/>
      <c r="N2696" s="126"/>
      <c r="O2696" s="126"/>
      <c r="P2696" s="135"/>
      <c r="Q2696" s="135"/>
    </row>
    <row r="2697" spans="11:17" ht="12.75">
      <c r="K2697" s="118"/>
      <c r="L2697" s="118"/>
      <c r="M2697" s="126"/>
      <c r="N2697" s="126"/>
      <c r="O2697" s="126"/>
      <c r="P2697" s="135"/>
      <c r="Q2697" s="135"/>
    </row>
    <row r="2698" spans="11:17" ht="12.75">
      <c r="K2698" s="118"/>
      <c r="L2698" s="118"/>
      <c r="M2698" s="126"/>
      <c r="N2698" s="126"/>
      <c r="O2698" s="126"/>
      <c r="P2698" s="135"/>
      <c r="Q2698" s="135"/>
    </row>
    <row r="2699" spans="11:17" ht="12.75">
      <c r="K2699" s="118"/>
      <c r="L2699" s="118"/>
      <c r="M2699" s="126"/>
      <c r="N2699" s="126"/>
      <c r="O2699" s="126"/>
      <c r="P2699" s="135"/>
      <c r="Q2699" s="135"/>
    </row>
    <row r="2700" spans="11:17" ht="12.75">
      <c r="K2700" s="118"/>
      <c r="L2700" s="118"/>
      <c r="M2700" s="126"/>
      <c r="N2700" s="126"/>
      <c r="O2700" s="126"/>
      <c r="P2700" s="135"/>
      <c r="Q2700" s="135"/>
    </row>
    <row r="2701" spans="11:17" ht="12.75">
      <c r="K2701" s="118"/>
      <c r="L2701" s="118"/>
      <c r="M2701" s="126"/>
      <c r="N2701" s="126"/>
      <c r="O2701" s="126"/>
      <c r="P2701" s="135"/>
      <c r="Q2701" s="135"/>
    </row>
    <row r="2702" spans="11:17" ht="12.75">
      <c r="K2702" s="118"/>
      <c r="L2702" s="118"/>
      <c r="M2702" s="126"/>
      <c r="N2702" s="126"/>
      <c r="O2702" s="126"/>
      <c r="P2702" s="135"/>
      <c r="Q2702" s="135"/>
    </row>
    <row r="2703" spans="11:17" ht="12.75">
      <c r="K2703" s="118"/>
      <c r="L2703" s="118"/>
      <c r="M2703" s="126"/>
      <c r="N2703" s="126"/>
      <c r="O2703" s="126"/>
      <c r="P2703" s="135"/>
      <c r="Q2703" s="135"/>
    </row>
    <row r="2704" spans="11:17" ht="12.75">
      <c r="K2704" s="118"/>
      <c r="L2704" s="118"/>
      <c r="M2704" s="126"/>
      <c r="N2704" s="126"/>
      <c r="O2704" s="126"/>
      <c r="P2704" s="135"/>
      <c r="Q2704" s="135"/>
    </row>
    <row r="2705" spans="11:17" ht="12.75">
      <c r="K2705" s="118"/>
      <c r="L2705" s="118"/>
      <c r="M2705" s="126"/>
      <c r="N2705" s="126"/>
      <c r="O2705" s="126"/>
      <c r="P2705" s="135"/>
      <c r="Q2705" s="135"/>
    </row>
    <row r="2706" spans="11:17" ht="12.75">
      <c r="K2706" s="118"/>
      <c r="L2706" s="118"/>
      <c r="M2706" s="126"/>
      <c r="N2706" s="126"/>
      <c r="O2706" s="126"/>
      <c r="P2706" s="135"/>
      <c r="Q2706" s="135"/>
    </row>
    <row r="2707" spans="11:17" ht="12.75">
      <c r="K2707" s="118"/>
      <c r="L2707" s="118"/>
      <c r="M2707" s="126"/>
      <c r="N2707" s="126"/>
      <c r="O2707" s="126"/>
      <c r="P2707" s="135"/>
      <c r="Q2707" s="135"/>
    </row>
    <row r="2708" spans="11:17" ht="12.75">
      <c r="K2708" s="118"/>
      <c r="L2708" s="118"/>
      <c r="M2708" s="126"/>
      <c r="N2708" s="126"/>
      <c r="O2708" s="126"/>
      <c r="P2708" s="135"/>
      <c r="Q2708" s="135"/>
    </row>
    <row r="2709" spans="11:17" ht="12.75">
      <c r="K2709" s="118"/>
      <c r="L2709" s="118"/>
      <c r="M2709" s="126"/>
      <c r="N2709" s="126"/>
      <c r="O2709" s="126"/>
      <c r="P2709" s="135"/>
      <c r="Q2709" s="135"/>
    </row>
    <row r="2710" spans="11:17" ht="12.75">
      <c r="K2710" s="118"/>
      <c r="L2710" s="118"/>
      <c r="M2710" s="126"/>
      <c r="N2710" s="126"/>
      <c r="O2710" s="126"/>
      <c r="P2710" s="135"/>
      <c r="Q2710" s="135"/>
    </row>
    <row r="2711" spans="11:17" ht="12.75">
      <c r="K2711" s="118"/>
      <c r="L2711" s="118"/>
      <c r="M2711" s="126"/>
      <c r="N2711" s="126"/>
      <c r="O2711" s="126"/>
      <c r="P2711" s="135"/>
      <c r="Q2711" s="135"/>
    </row>
    <row r="2712" spans="11:17" ht="12.75">
      <c r="K2712" s="118"/>
      <c r="L2712" s="118"/>
      <c r="M2712" s="126"/>
      <c r="N2712" s="126"/>
      <c r="O2712" s="126"/>
      <c r="P2712" s="135"/>
      <c r="Q2712" s="135"/>
    </row>
    <row r="2713" spans="11:17" ht="12.75">
      <c r="K2713" s="118"/>
      <c r="L2713" s="118"/>
      <c r="M2713" s="126"/>
      <c r="N2713" s="126"/>
      <c r="O2713" s="126"/>
      <c r="P2713" s="135"/>
      <c r="Q2713" s="135"/>
    </row>
    <row r="2714" spans="11:17" ht="12.75">
      <c r="K2714" s="118"/>
      <c r="L2714" s="118"/>
      <c r="M2714" s="126"/>
      <c r="N2714" s="126"/>
      <c r="O2714" s="126"/>
      <c r="P2714" s="135"/>
      <c r="Q2714" s="135"/>
    </row>
    <row r="2715" spans="11:17" ht="12.75">
      <c r="K2715" s="118"/>
      <c r="L2715" s="118"/>
      <c r="M2715" s="126"/>
      <c r="N2715" s="126"/>
      <c r="O2715" s="126"/>
      <c r="P2715" s="135"/>
      <c r="Q2715" s="135"/>
    </row>
    <row r="2716" spans="11:17" ht="12.75">
      <c r="K2716" s="118"/>
      <c r="L2716" s="118"/>
      <c r="M2716" s="126"/>
      <c r="N2716" s="126"/>
      <c r="O2716" s="126"/>
      <c r="P2716" s="135"/>
      <c r="Q2716" s="135"/>
    </row>
    <row r="2717" spans="11:17" ht="12.75">
      <c r="K2717" s="118"/>
      <c r="L2717" s="118"/>
      <c r="M2717" s="126"/>
      <c r="N2717" s="126"/>
      <c r="O2717" s="126"/>
      <c r="P2717" s="135"/>
      <c r="Q2717" s="135"/>
    </row>
    <row r="2718" spans="11:17" ht="12.75">
      <c r="K2718" s="118"/>
      <c r="L2718" s="118"/>
      <c r="M2718" s="126"/>
      <c r="N2718" s="126"/>
      <c r="O2718" s="126"/>
      <c r="P2718" s="135"/>
      <c r="Q2718" s="135"/>
    </row>
    <row r="2719" spans="11:17" ht="12.75">
      <c r="K2719" s="118"/>
      <c r="L2719" s="118"/>
      <c r="M2719" s="126"/>
      <c r="N2719" s="126"/>
      <c r="O2719" s="126"/>
      <c r="P2719" s="135"/>
      <c r="Q2719" s="135"/>
    </row>
    <row r="2720" spans="11:17" ht="12.75">
      <c r="K2720" s="118"/>
      <c r="L2720" s="118"/>
      <c r="M2720" s="126"/>
      <c r="N2720" s="126"/>
      <c r="O2720" s="126"/>
      <c r="P2720" s="135"/>
      <c r="Q2720" s="135"/>
    </row>
    <row r="2721" spans="11:17" ht="12.75">
      <c r="K2721" s="118"/>
      <c r="L2721" s="118"/>
      <c r="M2721" s="126"/>
      <c r="N2721" s="126"/>
      <c r="O2721" s="126"/>
      <c r="P2721" s="135"/>
      <c r="Q2721" s="135"/>
    </row>
    <row r="2722" spans="11:17" ht="12.75">
      <c r="K2722" s="118"/>
      <c r="L2722" s="118"/>
      <c r="M2722" s="126"/>
      <c r="N2722" s="126"/>
      <c r="O2722" s="126"/>
      <c r="P2722" s="135"/>
      <c r="Q2722" s="135"/>
    </row>
    <row r="2723" spans="11:17" ht="12.75">
      <c r="K2723" s="118"/>
      <c r="L2723" s="118"/>
      <c r="M2723" s="126"/>
      <c r="N2723" s="126"/>
      <c r="O2723" s="126"/>
      <c r="P2723" s="135"/>
      <c r="Q2723" s="135"/>
    </row>
    <row r="2724" spans="11:17" ht="12.75">
      <c r="K2724" s="118"/>
      <c r="L2724" s="118"/>
      <c r="M2724" s="126"/>
      <c r="N2724" s="126"/>
      <c r="O2724" s="126"/>
      <c r="P2724" s="135"/>
      <c r="Q2724" s="135"/>
    </row>
    <row r="2725" spans="11:17" ht="12.75">
      <c r="K2725" s="118"/>
      <c r="L2725" s="118"/>
      <c r="M2725" s="126"/>
      <c r="N2725" s="126"/>
      <c r="O2725" s="126"/>
      <c r="P2725" s="135"/>
      <c r="Q2725" s="135"/>
    </row>
    <row r="2726" spans="11:17" ht="12.75">
      <c r="K2726" s="118"/>
      <c r="L2726" s="118"/>
      <c r="M2726" s="126"/>
      <c r="N2726" s="126"/>
      <c r="O2726" s="126"/>
      <c r="P2726" s="135"/>
      <c r="Q2726" s="135"/>
    </row>
    <row r="2727" spans="11:17" ht="12.75">
      <c r="K2727" s="118"/>
      <c r="L2727" s="118"/>
      <c r="M2727" s="126"/>
      <c r="N2727" s="126"/>
      <c r="O2727" s="126"/>
      <c r="P2727" s="135"/>
      <c r="Q2727" s="135"/>
    </row>
    <row r="2728" spans="11:17" ht="12.75">
      <c r="K2728" s="118"/>
      <c r="L2728" s="118"/>
      <c r="M2728" s="126"/>
      <c r="N2728" s="126"/>
      <c r="O2728" s="126"/>
      <c r="P2728" s="135"/>
      <c r="Q2728" s="135"/>
    </row>
    <row r="2729" spans="11:17" ht="12.75">
      <c r="K2729" s="118"/>
      <c r="L2729" s="118"/>
      <c r="M2729" s="126"/>
      <c r="N2729" s="126"/>
      <c r="O2729" s="126"/>
      <c r="P2729" s="135"/>
      <c r="Q2729" s="135"/>
    </row>
    <row r="2730" spans="11:17" ht="12.75">
      <c r="K2730" s="118"/>
      <c r="L2730" s="118"/>
      <c r="M2730" s="126"/>
      <c r="N2730" s="126"/>
      <c r="O2730" s="126"/>
      <c r="P2730" s="135"/>
      <c r="Q2730" s="135"/>
    </row>
    <row r="2731" spans="11:17" ht="12.75">
      <c r="K2731" s="118"/>
      <c r="L2731" s="118"/>
      <c r="M2731" s="126"/>
      <c r="N2731" s="126"/>
      <c r="O2731" s="126"/>
      <c r="P2731" s="135"/>
      <c r="Q2731" s="135"/>
    </row>
    <row r="2732" spans="11:17" ht="12.75">
      <c r="K2732" s="118"/>
      <c r="L2732" s="118"/>
      <c r="M2732" s="126"/>
      <c r="N2732" s="126"/>
      <c r="O2732" s="126"/>
      <c r="P2732" s="135"/>
      <c r="Q2732" s="135"/>
    </row>
    <row r="2733" spans="11:17" ht="12.75">
      <c r="K2733" s="118"/>
      <c r="L2733" s="118"/>
      <c r="M2733" s="126"/>
      <c r="N2733" s="126"/>
      <c r="O2733" s="126"/>
      <c r="P2733" s="135"/>
      <c r="Q2733" s="135"/>
    </row>
    <row r="2734" spans="11:17" ht="12.75">
      <c r="K2734" s="118"/>
      <c r="L2734" s="118"/>
      <c r="M2734" s="126"/>
      <c r="N2734" s="126"/>
      <c r="O2734" s="126"/>
      <c r="P2734" s="135"/>
      <c r="Q2734" s="135"/>
    </row>
    <row r="2735" spans="11:17" ht="12.75">
      <c r="K2735" s="118"/>
      <c r="L2735" s="118"/>
      <c r="M2735" s="126"/>
      <c r="N2735" s="126"/>
      <c r="O2735" s="126"/>
      <c r="P2735" s="135"/>
      <c r="Q2735" s="135"/>
    </row>
    <row r="2736" spans="11:17" ht="12.75">
      <c r="K2736" s="118"/>
      <c r="L2736" s="118"/>
      <c r="M2736" s="126"/>
      <c r="N2736" s="126"/>
      <c r="O2736" s="126"/>
      <c r="P2736" s="135"/>
      <c r="Q2736" s="135"/>
    </row>
    <row r="2737" spans="11:17" ht="12.75">
      <c r="K2737" s="118"/>
      <c r="L2737" s="118"/>
      <c r="M2737" s="126"/>
      <c r="N2737" s="126"/>
      <c r="O2737" s="126"/>
      <c r="P2737" s="135"/>
      <c r="Q2737" s="135"/>
    </row>
    <row r="2738" spans="11:17" ht="12.75">
      <c r="K2738" s="118"/>
      <c r="L2738" s="118"/>
      <c r="M2738" s="126"/>
      <c r="N2738" s="126"/>
      <c r="O2738" s="126"/>
      <c r="P2738" s="135"/>
      <c r="Q2738" s="135"/>
    </row>
    <row r="2739" spans="11:17" ht="12.75">
      <c r="K2739" s="118"/>
      <c r="L2739" s="118"/>
      <c r="M2739" s="126"/>
      <c r="N2739" s="126"/>
      <c r="O2739" s="126"/>
      <c r="P2739" s="135"/>
      <c r="Q2739" s="135"/>
    </row>
    <row r="2740" spans="11:17" ht="12.75">
      <c r="K2740" s="118"/>
      <c r="L2740" s="118"/>
      <c r="M2740" s="126"/>
      <c r="N2740" s="126"/>
      <c r="O2740" s="126"/>
      <c r="P2740" s="135"/>
      <c r="Q2740" s="135"/>
    </row>
    <row r="2741" spans="11:17" ht="12.75">
      <c r="K2741" s="118"/>
      <c r="L2741" s="118"/>
      <c r="M2741" s="126"/>
      <c r="N2741" s="126"/>
      <c r="O2741" s="126"/>
      <c r="P2741" s="135"/>
      <c r="Q2741" s="135"/>
    </row>
    <row r="2742" spans="11:17" ht="12.75">
      <c r="K2742" s="118"/>
      <c r="L2742" s="118"/>
      <c r="M2742" s="126"/>
      <c r="N2742" s="126"/>
      <c r="O2742" s="126"/>
      <c r="P2742" s="135"/>
      <c r="Q2742" s="135"/>
    </row>
    <row r="2743" spans="11:17" ht="12.75">
      <c r="K2743" s="118"/>
      <c r="L2743" s="118"/>
      <c r="M2743" s="126"/>
      <c r="N2743" s="126"/>
      <c r="O2743" s="126"/>
      <c r="P2743" s="135"/>
      <c r="Q2743" s="135"/>
    </row>
    <row r="2744" spans="11:17" ht="12.75">
      <c r="K2744" s="118"/>
      <c r="L2744" s="118"/>
      <c r="M2744" s="126"/>
      <c r="N2744" s="126"/>
      <c r="O2744" s="126"/>
      <c r="P2744" s="135"/>
      <c r="Q2744" s="135"/>
    </row>
    <row r="2745" spans="11:17" ht="12.75">
      <c r="K2745" s="118"/>
      <c r="L2745" s="118"/>
      <c r="M2745" s="126"/>
      <c r="N2745" s="126"/>
      <c r="O2745" s="126"/>
      <c r="P2745" s="135"/>
      <c r="Q2745" s="135"/>
    </row>
    <row r="2746" spans="11:17" ht="12.75">
      <c r="K2746" s="118"/>
      <c r="L2746" s="118"/>
      <c r="M2746" s="126"/>
      <c r="N2746" s="126"/>
      <c r="O2746" s="126"/>
      <c r="P2746" s="135"/>
      <c r="Q2746" s="135"/>
    </row>
    <row r="2747" spans="11:17" ht="12.75">
      <c r="K2747" s="118"/>
      <c r="L2747" s="118"/>
      <c r="M2747" s="126"/>
      <c r="N2747" s="126"/>
      <c r="O2747" s="126"/>
      <c r="P2747" s="135"/>
      <c r="Q2747" s="135"/>
    </row>
    <row r="2748" spans="11:17" ht="12.75">
      <c r="K2748" s="118"/>
      <c r="L2748" s="118"/>
      <c r="M2748" s="126"/>
      <c r="N2748" s="126"/>
      <c r="O2748" s="126"/>
      <c r="P2748" s="135"/>
      <c r="Q2748" s="135"/>
    </row>
    <row r="2749" spans="11:17" ht="12.75">
      <c r="K2749" s="118"/>
      <c r="L2749" s="118"/>
      <c r="M2749" s="126"/>
      <c r="N2749" s="126"/>
      <c r="O2749" s="126"/>
      <c r="P2749" s="135"/>
      <c r="Q2749" s="135"/>
    </row>
    <row r="2750" spans="11:17" ht="12.75">
      <c r="K2750" s="118"/>
      <c r="L2750" s="118"/>
      <c r="M2750" s="126"/>
      <c r="N2750" s="126"/>
      <c r="O2750" s="126"/>
      <c r="P2750" s="135"/>
      <c r="Q2750" s="135"/>
    </row>
    <row r="2751" spans="11:17" ht="12.75">
      <c r="K2751" s="118"/>
      <c r="L2751" s="118"/>
      <c r="M2751" s="126"/>
      <c r="N2751" s="126"/>
      <c r="O2751" s="126"/>
      <c r="P2751" s="135"/>
      <c r="Q2751" s="135"/>
    </row>
    <row r="2752" spans="11:17" ht="12.75">
      <c r="K2752" s="118"/>
      <c r="L2752" s="118"/>
      <c r="M2752" s="126"/>
      <c r="N2752" s="126"/>
      <c r="O2752" s="126"/>
      <c r="P2752" s="135"/>
      <c r="Q2752" s="135"/>
    </row>
    <row r="2753" spans="11:17" ht="12.75">
      <c r="K2753" s="118"/>
      <c r="L2753" s="118"/>
      <c r="M2753" s="126"/>
      <c r="N2753" s="126"/>
      <c r="O2753" s="126"/>
      <c r="P2753" s="135"/>
      <c r="Q2753" s="135"/>
    </row>
    <row r="2754" spans="11:17" ht="12.75">
      <c r="K2754" s="118"/>
      <c r="L2754" s="118"/>
      <c r="M2754" s="126"/>
      <c r="N2754" s="126"/>
      <c r="O2754" s="126"/>
      <c r="P2754" s="135"/>
      <c r="Q2754" s="135"/>
    </row>
    <row r="2755" spans="11:17" ht="12.75">
      <c r="K2755" s="118"/>
      <c r="L2755" s="118"/>
      <c r="M2755" s="126"/>
      <c r="N2755" s="126"/>
      <c r="O2755" s="126"/>
      <c r="P2755" s="135"/>
      <c r="Q2755" s="135"/>
    </row>
    <row r="2756" spans="11:17" ht="12.75">
      <c r="K2756" s="118"/>
      <c r="L2756" s="118"/>
      <c r="M2756" s="126"/>
      <c r="N2756" s="126"/>
      <c r="O2756" s="126"/>
      <c r="P2756" s="135"/>
      <c r="Q2756" s="135"/>
    </row>
    <row r="2757" spans="11:17" ht="12.75">
      <c r="K2757" s="118"/>
      <c r="L2757" s="118"/>
      <c r="M2757" s="126"/>
      <c r="N2757" s="126"/>
      <c r="O2757" s="126"/>
      <c r="P2757" s="135"/>
      <c r="Q2757" s="135"/>
    </row>
    <row r="2758" spans="11:17" ht="12.75">
      <c r="K2758" s="118"/>
      <c r="L2758" s="118"/>
      <c r="M2758" s="126"/>
      <c r="N2758" s="126"/>
      <c r="O2758" s="126"/>
      <c r="P2758" s="135"/>
      <c r="Q2758" s="135"/>
    </row>
    <row r="2759" spans="11:17" ht="12.75">
      <c r="K2759" s="118"/>
      <c r="L2759" s="118"/>
      <c r="M2759" s="126"/>
      <c r="N2759" s="126"/>
      <c r="O2759" s="126"/>
      <c r="P2759" s="135"/>
      <c r="Q2759" s="135"/>
    </row>
    <row r="2760" spans="11:17" ht="12.75">
      <c r="K2760" s="118"/>
      <c r="L2760" s="118"/>
      <c r="M2760" s="126"/>
      <c r="N2760" s="126"/>
      <c r="O2760" s="126"/>
      <c r="P2760" s="135"/>
      <c r="Q2760" s="135"/>
    </row>
    <row r="2761" spans="11:17" ht="12.75">
      <c r="K2761" s="118"/>
      <c r="L2761" s="118"/>
      <c r="M2761" s="126"/>
      <c r="N2761" s="126"/>
      <c r="O2761" s="126"/>
      <c r="P2761" s="135"/>
      <c r="Q2761" s="135"/>
    </row>
    <row r="2762" spans="11:17" ht="12.75">
      <c r="K2762" s="118"/>
      <c r="L2762" s="118"/>
      <c r="M2762" s="126"/>
      <c r="N2762" s="126"/>
      <c r="O2762" s="126"/>
      <c r="P2762" s="135"/>
      <c r="Q2762" s="135"/>
    </row>
    <row r="2763" spans="11:17" ht="12.75">
      <c r="K2763" s="118"/>
      <c r="L2763" s="118"/>
      <c r="M2763" s="126"/>
      <c r="N2763" s="126"/>
      <c r="O2763" s="126"/>
      <c r="P2763" s="135"/>
      <c r="Q2763" s="135"/>
    </row>
    <row r="2764" spans="11:17" ht="12.75">
      <c r="K2764" s="118"/>
      <c r="L2764" s="118"/>
      <c r="M2764" s="126"/>
      <c r="N2764" s="126"/>
      <c r="O2764" s="126"/>
      <c r="P2764" s="135"/>
      <c r="Q2764" s="135"/>
    </row>
    <row r="2765" spans="11:17" ht="12.75">
      <c r="K2765" s="118"/>
      <c r="L2765" s="118"/>
      <c r="M2765" s="126"/>
      <c r="N2765" s="126"/>
      <c r="O2765" s="126"/>
      <c r="P2765" s="135"/>
      <c r="Q2765" s="135"/>
    </row>
    <row r="2766" spans="11:17" ht="12.75">
      <c r="K2766" s="118"/>
      <c r="L2766" s="118"/>
      <c r="M2766" s="126"/>
      <c r="N2766" s="126"/>
      <c r="O2766" s="126"/>
      <c r="P2766" s="135"/>
      <c r="Q2766" s="135"/>
    </row>
    <row r="2767" spans="11:17" ht="12.75">
      <c r="K2767" s="118"/>
      <c r="L2767" s="118"/>
      <c r="M2767" s="126"/>
      <c r="N2767" s="126"/>
      <c r="O2767" s="126"/>
      <c r="P2767" s="135"/>
      <c r="Q2767" s="135"/>
    </row>
    <row r="2768" spans="11:17" ht="12.75">
      <c r="K2768" s="118"/>
      <c r="L2768" s="118"/>
      <c r="M2768" s="126"/>
      <c r="N2768" s="126"/>
      <c r="O2768" s="126"/>
      <c r="P2768" s="135"/>
      <c r="Q2768" s="135"/>
    </row>
    <row r="2769" spans="11:17" ht="12.75">
      <c r="K2769" s="118"/>
      <c r="L2769" s="118"/>
      <c r="M2769" s="126"/>
      <c r="N2769" s="126"/>
      <c r="O2769" s="126"/>
      <c r="P2769" s="135"/>
      <c r="Q2769" s="135"/>
    </row>
    <row r="2770" spans="11:17" ht="12.75">
      <c r="K2770" s="118"/>
      <c r="L2770" s="118"/>
      <c r="M2770" s="126"/>
      <c r="N2770" s="126"/>
      <c r="O2770" s="126"/>
      <c r="P2770" s="135"/>
      <c r="Q2770" s="135"/>
    </row>
    <row r="2771" spans="11:17" ht="12.75">
      <c r="K2771" s="118"/>
      <c r="L2771" s="118"/>
      <c r="M2771" s="126"/>
      <c r="N2771" s="126"/>
      <c r="O2771" s="126"/>
      <c r="P2771" s="135"/>
      <c r="Q2771" s="135"/>
    </row>
    <row r="2772" spans="11:17" ht="12.75">
      <c r="K2772" s="118"/>
      <c r="L2772" s="118"/>
      <c r="M2772" s="126"/>
      <c r="N2772" s="126"/>
      <c r="O2772" s="126"/>
      <c r="P2772" s="135"/>
      <c r="Q2772" s="135"/>
    </row>
    <row r="2773" spans="11:17" ht="12.75">
      <c r="K2773" s="118"/>
      <c r="L2773" s="118"/>
      <c r="M2773" s="126"/>
      <c r="N2773" s="126"/>
      <c r="O2773" s="126"/>
      <c r="P2773" s="135"/>
      <c r="Q2773" s="135"/>
    </row>
    <row r="2774" spans="11:17" ht="12.75">
      <c r="K2774" s="118"/>
      <c r="L2774" s="118"/>
      <c r="M2774" s="126"/>
      <c r="N2774" s="126"/>
      <c r="O2774" s="126"/>
      <c r="P2774" s="135"/>
      <c r="Q2774" s="135"/>
    </row>
    <row r="2775" spans="11:17" ht="12.75">
      <c r="K2775" s="118"/>
      <c r="L2775" s="118"/>
      <c r="M2775" s="126"/>
      <c r="N2775" s="126"/>
      <c r="O2775" s="126"/>
      <c r="P2775" s="135"/>
      <c r="Q2775" s="135"/>
    </row>
    <row r="2776" spans="11:17" ht="12.75">
      <c r="K2776" s="118"/>
      <c r="L2776" s="118"/>
      <c r="M2776" s="126"/>
      <c r="N2776" s="126"/>
      <c r="O2776" s="126"/>
      <c r="P2776" s="135"/>
      <c r="Q2776" s="135"/>
    </row>
    <row r="2777" spans="11:17" ht="12.75">
      <c r="K2777" s="118"/>
      <c r="L2777" s="118"/>
      <c r="M2777" s="126"/>
      <c r="N2777" s="126"/>
      <c r="O2777" s="126"/>
      <c r="P2777" s="135"/>
      <c r="Q2777" s="135"/>
    </row>
    <row r="2778" spans="11:17" ht="12.75">
      <c r="K2778" s="118"/>
      <c r="L2778" s="118"/>
      <c r="M2778" s="126"/>
      <c r="N2778" s="126"/>
      <c r="O2778" s="126"/>
      <c r="P2778" s="135"/>
      <c r="Q2778" s="135"/>
    </row>
    <row r="2779" spans="11:17" ht="12.75">
      <c r="K2779" s="118"/>
      <c r="L2779" s="118"/>
      <c r="M2779" s="126"/>
      <c r="N2779" s="126"/>
      <c r="O2779" s="126"/>
      <c r="P2779" s="135"/>
      <c r="Q2779" s="135"/>
    </row>
    <row r="2780" spans="11:17" ht="12.75">
      <c r="K2780" s="118"/>
      <c r="L2780" s="118"/>
      <c r="M2780" s="126"/>
      <c r="N2780" s="126"/>
      <c r="O2780" s="126"/>
      <c r="P2780" s="135"/>
      <c r="Q2780" s="135"/>
    </row>
    <row r="2781" spans="11:17" ht="12.75">
      <c r="K2781" s="118"/>
      <c r="L2781" s="118"/>
      <c r="M2781" s="126"/>
      <c r="N2781" s="126"/>
      <c r="O2781" s="126"/>
      <c r="P2781" s="135"/>
      <c r="Q2781" s="135"/>
    </row>
    <row r="2782" spans="11:17" ht="12.75">
      <c r="K2782" s="118"/>
      <c r="L2782" s="118"/>
      <c r="M2782" s="126"/>
      <c r="N2782" s="126"/>
      <c r="O2782" s="126"/>
      <c r="P2782" s="135"/>
      <c r="Q2782" s="135"/>
    </row>
    <row r="2783" spans="11:17" ht="12.75">
      <c r="K2783" s="118"/>
      <c r="L2783" s="118"/>
      <c r="M2783" s="126"/>
      <c r="N2783" s="126"/>
      <c r="O2783" s="126"/>
      <c r="P2783" s="135"/>
      <c r="Q2783" s="135"/>
    </row>
    <row r="2784" spans="11:17" ht="12.75">
      <c r="K2784" s="118"/>
      <c r="L2784" s="118"/>
      <c r="M2784" s="126"/>
      <c r="N2784" s="126"/>
      <c r="O2784" s="126"/>
      <c r="P2784" s="135"/>
      <c r="Q2784" s="135"/>
    </row>
    <row r="2785" spans="11:17" ht="12.75">
      <c r="K2785" s="118"/>
      <c r="L2785" s="118"/>
      <c r="M2785" s="126"/>
      <c r="N2785" s="126"/>
      <c r="O2785" s="126"/>
      <c r="P2785" s="135"/>
      <c r="Q2785" s="135"/>
    </row>
    <row r="2786" spans="11:17" ht="12.75">
      <c r="K2786" s="118"/>
      <c r="L2786" s="118"/>
      <c r="M2786" s="126"/>
      <c r="N2786" s="126"/>
      <c r="O2786" s="126"/>
      <c r="P2786" s="135"/>
      <c r="Q2786" s="135"/>
    </row>
    <row r="2787" spans="11:17" ht="12.75">
      <c r="K2787" s="118"/>
      <c r="L2787" s="118"/>
      <c r="M2787" s="126"/>
      <c r="N2787" s="126"/>
      <c r="O2787" s="126"/>
      <c r="P2787" s="135"/>
      <c r="Q2787" s="135"/>
    </row>
    <row r="2788" spans="11:17" ht="12.75">
      <c r="K2788" s="118"/>
      <c r="L2788" s="118"/>
      <c r="M2788" s="126"/>
      <c r="N2788" s="126"/>
      <c r="O2788" s="126"/>
      <c r="P2788" s="135"/>
      <c r="Q2788" s="135"/>
    </row>
    <row r="2789" spans="11:17" ht="12.75">
      <c r="K2789" s="118"/>
      <c r="L2789" s="118"/>
      <c r="M2789" s="126"/>
      <c r="N2789" s="126"/>
      <c r="O2789" s="126"/>
      <c r="P2789" s="135"/>
      <c r="Q2789" s="135"/>
    </row>
    <row r="2790" spans="11:17" ht="12.75">
      <c r="K2790" s="118"/>
      <c r="L2790" s="118"/>
      <c r="M2790" s="126"/>
      <c r="N2790" s="126"/>
      <c r="O2790" s="126"/>
      <c r="P2790" s="135"/>
      <c r="Q2790" s="135"/>
    </row>
    <row r="2791" spans="11:17" ht="12.75">
      <c r="K2791" s="118"/>
      <c r="L2791" s="118"/>
      <c r="M2791" s="126"/>
      <c r="N2791" s="126"/>
      <c r="O2791" s="126"/>
      <c r="P2791" s="135"/>
      <c r="Q2791" s="135"/>
    </row>
    <row r="2792" spans="11:17" ht="12.75">
      <c r="K2792" s="118"/>
      <c r="L2792" s="118"/>
      <c r="M2792" s="126"/>
      <c r="N2792" s="126"/>
      <c r="O2792" s="126"/>
      <c r="P2792" s="135"/>
      <c r="Q2792" s="135"/>
    </row>
    <row r="2793" spans="11:17" ht="12.75">
      <c r="K2793" s="118"/>
      <c r="L2793" s="118"/>
      <c r="M2793" s="126"/>
      <c r="N2793" s="126"/>
      <c r="O2793" s="126"/>
      <c r="P2793" s="135"/>
      <c r="Q2793" s="135"/>
    </row>
    <row r="2794" spans="11:17" ht="12.75">
      <c r="K2794" s="118"/>
      <c r="L2794" s="118"/>
      <c r="M2794" s="126"/>
      <c r="N2794" s="126"/>
      <c r="O2794" s="126"/>
      <c r="P2794" s="135"/>
      <c r="Q2794" s="135"/>
    </row>
    <row r="2795" spans="11:17" ht="12.75">
      <c r="K2795" s="118"/>
      <c r="L2795" s="118"/>
      <c r="M2795" s="126"/>
      <c r="N2795" s="126"/>
      <c r="O2795" s="126"/>
      <c r="P2795" s="135"/>
      <c r="Q2795" s="135"/>
    </row>
    <row r="2796" spans="11:17" ht="12.75">
      <c r="K2796" s="118"/>
      <c r="L2796" s="118"/>
      <c r="M2796" s="126"/>
      <c r="N2796" s="126"/>
      <c r="O2796" s="126"/>
      <c r="P2796" s="135"/>
      <c r="Q2796" s="135"/>
    </row>
    <row r="2797" spans="11:17" ht="12.75">
      <c r="K2797" s="118"/>
      <c r="L2797" s="118"/>
      <c r="M2797" s="126"/>
      <c r="N2797" s="126"/>
      <c r="O2797" s="126"/>
      <c r="P2797" s="135"/>
      <c r="Q2797" s="135"/>
    </row>
    <row r="2798" spans="11:17" ht="12.75">
      <c r="K2798" s="118"/>
      <c r="L2798" s="118"/>
      <c r="M2798" s="126"/>
      <c r="N2798" s="126"/>
      <c r="O2798" s="126"/>
      <c r="P2798" s="135"/>
      <c r="Q2798" s="135"/>
    </row>
    <row r="2799" spans="11:17" ht="12.75">
      <c r="K2799" s="118"/>
      <c r="L2799" s="118"/>
      <c r="M2799" s="126"/>
      <c r="N2799" s="126"/>
      <c r="O2799" s="126"/>
      <c r="P2799" s="135"/>
      <c r="Q2799" s="135"/>
    </row>
    <row r="2800" spans="11:17" ht="12.75">
      <c r="K2800" s="118"/>
      <c r="L2800" s="118"/>
      <c r="M2800" s="126"/>
      <c r="N2800" s="126"/>
      <c r="O2800" s="126"/>
      <c r="P2800" s="135"/>
      <c r="Q2800" s="135"/>
    </row>
    <row r="2801" spans="11:17" ht="12.75">
      <c r="K2801" s="118"/>
      <c r="L2801" s="118"/>
      <c r="M2801" s="126"/>
      <c r="N2801" s="126"/>
      <c r="O2801" s="126"/>
      <c r="P2801" s="135"/>
      <c r="Q2801" s="135"/>
    </row>
    <row r="2802" spans="11:17" ht="12.75">
      <c r="K2802" s="118"/>
      <c r="L2802" s="118"/>
      <c r="M2802" s="126"/>
      <c r="N2802" s="126"/>
      <c r="O2802" s="126"/>
      <c r="P2802" s="135"/>
      <c r="Q2802" s="135"/>
    </row>
    <row r="2803" spans="11:17" ht="12.75">
      <c r="K2803" s="118"/>
      <c r="L2803" s="118"/>
      <c r="M2803" s="126"/>
      <c r="N2803" s="126"/>
      <c r="O2803" s="126"/>
      <c r="P2803" s="135"/>
      <c r="Q2803" s="135"/>
    </row>
    <row r="2804" spans="11:17" ht="12.75">
      <c r="K2804" s="118"/>
      <c r="L2804" s="118"/>
      <c r="M2804" s="126"/>
      <c r="N2804" s="126"/>
      <c r="O2804" s="126"/>
      <c r="P2804" s="135"/>
      <c r="Q2804" s="135"/>
    </row>
    <row r="2805" spans="11:17" ht="12.75">
      <c r="K2805" s="118"/>
      <c r="L2805" s="118"/>
      <c r="M2805" s="126"/>
      <c r="N2805" s="126"/>
      <c r="O2805" s="126"/>
      <c r="P2805" s="135"/>
      <c r="Q2805" s="135"/>
    </row>
    <row r="2806" spans="11:17" ht="12.75">
      <c r="K2806" s="118"/>
      <c r="L2806" s="118"/>
      <c r="M2806" s="126"/>
      <c r="N2806" s="126"/>
      <c r="O2806" s="126"/>
      <c r="P2806" s="135"/>
      <c r="Q2806" s="135"/>
    </row>
    <row r="2807" spans="11:17" ht="12.75">
      <c r="K2807" s="118"/>
      <c r="L2807" s="118"/>
      <c r="M2807" s="126"/>
      <c r="N2807" s="126"/>
      <c r="O2807" s="126"/>
      <c r="P2807" s="135"/>
      <c r="Q2807" s="135"/>
    </row>
    <row r="2808" spans="11:17" ht="12.75">
      <c r="K2808" s="118"/>
      <c r="L2808" s="118"/>
      <c r="M2808" s="126"/>
      <c r="N2808" s="126"/>
      <c r="O2808" s="126"/>
      <c r="P2808" s="135"/>
      <c r="Q2808" s="135"/>
    </row>
    <row r="2809" spans="11:17" ht="12.75">
      <c r="K2809" s="118"/>
      <c r="L2809" s="118"/>
      <c r="M2809" s="126"/>
      <c r="N2809" s="126"/>
      <c r="O2809" s="126"/>
      <c r="P2809" s="135"/>
      <c r="Q2809" s="135"/>
    </row>
    <row r="2810" spans="11:17" ht="12.75">
      <c r="K2810" s="118"/>
      <c r="L2810" s="118"/>
      <c r="M2810" s="126"/>
      <c r="N2810" s="126"/>
      <c r="O2810" s="126"/>
      <c r="P2810" s="135"/>
      <c r="Q2810" s="135"/>
    </row>
    <row r="2811" spans="11:17" ht="12.75">
      <c r="K2811" s="118"/>
      <c r="L2811" s="118"/>
      <c r="M2811" s="126"/>
      <c r="N2811" s="126"/>
      <c r="O2811" s="126"/>
      <c r="P2811" s="135"/>
      <c r="Q2811" s="135"/>
    </row>
    <row r="2812" spans="11:17" ht="12.75">
      <c r="K2812" s="118"/>
      <c r="L2812" s="118"/>
      <c r="M2812" s="126"/>
      <c r="N2812" s="126"/>
      <c r="O2812" s="126"/>
      <c r="P2812" s="135"/>
      <c r="Q2812" s="135"/>
    </row>
    <row r="2813" spans="11:17" ht="12.75">
      <c r="K2813" s="118"/>
      <c r="L2813" s="118"/>
      <c r="M2813" s="126"/>
      <c r="N2813" s="126"/>
      <c r="O2813" s="126"/>
      <c r="P2813" s="135"/>
      <c r="Q2813" s="135"/>
    </row>
    <row r="2814" spans="11:17" ht="12.75">
      <c r="K2814" s="118"/>
      <c r="L2814" s="118"/>
      <c r="M2814" s="126"/>
      <c r="N2814" s="126"/>
      <c r="O2814" s="126"/>
      <c r="P2814" s="135"/>
      <c r="Q2814" s="135"/>
    </row>
    <row r="2815" spans="11:17" ht="12.75">
      <c r="K2815" s="118"/>
      <c r="L2815" s="118"/>
      <c r="M2815" s="126"/>
      <c r="N2815" s="126"/>
      <c r="O2815" s="126"/>
      <c r="P2815" s="135"/>
      <c r="Q2815" s="135"/>
    </row>
    <row r="2816" spans="11:17" ht="12.75">
      <c r="K2816" s="118"/>
      <c r="L2816" s="118"/>
      <c r="M2816" s="126"/>
      <c r="N2816" s="126"/>
      <c r="O2816" s="126"/>
      <c r="P2816" s="135"/>
      <c r="Q2816" s="135"/>
    </row>
    <row r="2817" spans="11:17" ht="12.75">
      <c r="K2817" s="118"/>
      <c r="L2817" s="118"/>
      <c r="M2817" s="126"/>
      <c r="N2817" s="126"/>
      <c r="O2817" s="126"/>
      <c r="P2817" s="135"/>
      <c r="Q2817" s="135"/>
    </row>
    <row r="2818" spans="11:17" ht="12.75">
      <c r="K2818" s="118"/>
      <c r="L2818" s="118"/>
      <c r="M2818" s="126"/>
      <c r="N2818" s="126"/>
      <c r="O2818" s="126"/>
      <c r="P2818" s="135"/>
      <c r="Q2818" s="135"/>
    </row>
    <row r="2819" spans="11:17" ht="12.75">
      <c r="K2819" s="118"/>
      <c r="L2819" s="118"/>
      <c r="M2819" s="126"/>
      <c r="N2819" s="126"/>
      <c r="O2819" s="126"/>
      <c r="P2819" s="135"/>
      <c r="Q2819" s="135"/>
    </row>
    <row r="2820" spans="11:17" ht="12.75">
      <c r="K2820" s="118"/>
      <c r="L2820" s="118"/>
      <c r="M2820" s="126"/>
      <c r="N2820" s="126"/>
      <c r="O2820" s="126"/>
      <c r="P2820" s="135"/>
      <c r="Q2820" s="135"/>
    </row>
    <row r="2821" spans="11:17" ht="12.75">
      <c r="K2821" s="118"/>
      <c r="L2821" s="118"/>
      <c r="M2821" s="126"/>
      <c r="N2821" s="126"/>
      <c r="O2821" s="126"/>
      <c r="P2821" s="135"/>
      <c r="Q2821" s="135"/>
    </row>
    <row r="2822" spans="11:17" ht="12.75">
      <c r="K2822" s="118"/>
      <c r="L2822" s="118"/>
      <c r="M2822" s="126"/>
      <c r="N2822" s="126"/>
      <c r="O2822" s="126"/>
      <c r="P2822" s="135"/>
      <c r="Q2822" s="135"/>
    </row>
    <row r="2823" spans="11:17" ht="12.75">
      <c r="K2823" s="118"/>
      <c r="L2823" s="118"/>
      <c r="M2823" s="126"/>
      <c r="N2823" s="126"/>
      <c r="O2823" s="126"/>
      <c r="P2823" s="135"/>
      <c r="Q2823" s="135"/>
    </row>
    <row r="2824" spans="11:17" ht="12.75">
      <c r="K2824" s="118"/>
      <c r="L2824" s="118"/>
      <c r="M2824" s="126"/>
      <c r="N2824" s="126"/>
      <c r="O2824" s="126"/>
      <c r="P2824" s="135"/>
      <c r="Q2824" s="135"/>
    </row>
    <row r="2825" spans="11:17" ht="12.75">
      <c r="K2825" s="118"/>
      <c r="L2825" s="118"/>
      <c r="M2825" s="126"/>
      <c r="N2825" s="126"/>
      <c r="O2825" s="126"/>
      <c r="P2825" s="135"/>
      <c r="Q2825" s="135"/>
    </row>
    <row r="2826" spans="11:17" ht="12.75">
      <c r="K2826" s="118"/>
      <c r="L2826" s="118"/>
      <c r="M2826" s="126"/>
      <c r="N2826" s="126"/>
      <c r="O2826" s="126"/>
      <c r="P2826" s="135"/>
      <c r="Q2826" s="135"/>
    </row>
    <row r="2827" spans="11:17" ht="12.75">
      <c r="K2827" s="118"/>
      <c r="L2827" s="118"/>
      <c r="M2827" s="126"/>
      <c r="N2827" s="126"/>
      <c r="O2827" s="126"/>
      <c r="P2827" s="135"/>
      <c r="Q2827" s="135"/>
    </row>
    <row r="2828" spans="11:17" ht="12.75">
      <c r="K2828" s="118"/>
      <c r="L2828" s="118"/>
      <c r="M2828" s="126"/>
      <c r="N2828" s="126"/>
      <c r="O2828" s="126"/>
      <c r="P2828" s="135"/>
      <c r="Q2828" s="135"/>
    </row>
    <row r="2829" spans="11:17" ht="12.75">
      <c r="K2829" s="118"/>
      <c r="L2829" s="118"/>
      <c r="M2829" s="126"/>
      <c r="N2829" s="126"/>
      <c r="O2829" s="126"/>
      <c r="P2829" s="135"/>
      <c r="Q2829" s="135"/>
    </row>
    <row r="2830" spans="11:17" ht="12.75">
      <c r="K2830" s="118"/>
      <c r="L2830" s="118"/>
      <c r="M2830" s="126"/>
      <c r="N2830" s="126"/>
      <c r="O2830" s="126"/>
      <c r="P2830" s="135"/>
      <c r="Q2830" s="135"/>
    </row>
    <row r="2831" spans="11:17" ht="12.75">
      <c r="K2831" s="118"/>
      <c r="L2831" s="118"/>
      <c r="M2831" s="126"/>
      <c r="N2831" s="126"/>
      <c r="O2831" s="126"/>
      <c r="P2831" s="135"/>
      <c r="Q2831" s="135"/>
    </row>
    <row r="2832" spans="11:17" ht="12.75">
      <c r="K2832" s="118"/>
      <c r="L2832" s="118"/>
      <c r="M2832" s="126"/>
      <c r="N2832" s="126"/>
      <c r="O2832" s="126"/>
      <c r="P2832" s="135"/>
      <c r="Q2832" s="135"/>
    </row>
    <row r="2833" spans="11:17" ht="12.75">
      <c r="K2833" s="118"/>
      <c r="L2833" s="118"/>
      <c r="M2833" s="126"/>
      <c r="N2833" s="126"/>
      <c r="O2833" s="126"/>
      <c r="P2833" s="135"/>
      <c r="Q2833" s="135"/>
    </row>
    <row r="2834" spans="11:17" ht="12.75">
      <c r="K2834" s="118"/>
      <c r="L2834" s="118"/>
      <c r="M2834" s="126"/>
      <c r="N2834" s="126"/>
      <c r="O2834" s="126"/>
      <c r="P2834" s="135"/>
      <c r="Q2834" s="135"/>
    </row>
    <row r="2835" spans="11:17" ht="12.75">
      <c r="K2835" s="118"/>
      <c r="L2835" s="118"/>
      <c r="M2835" s="126"/>
      <c r="N2835" s="126"/>
      <c r="O2835" s="126"/>
      <c r="P2835" s="135"/>
      <c r="Q2835" s="135"/>
    </row>
    <row r="2836" spans="11:17" ht="12.75">
      <c r="K2836" s="118"/>
      <c r="L2836" s="118"/>
      <c r="M2836" s="126"/>
      <c r="N2836" s="126"/>
      <c r="O2836" s="126"/>
      <c r="P2836" s="135"/>
      <c r="Q2836" s="135"/>
    </row>
    <row r="2837" spans="11:17" ht="12.75">
      <c r="K2837" s="118"/>
      <c r="L2837" s="118"/>
      <c r="M2837" s="126"/>
      <c r="N2837" s="126"/>
      <c r="O2837" s="126"/>
      <c r="P2837" s="135"/>
      <c r="Q2837" s="135"/>
    </row>
    <row r="2838" spans="11:17" ht="12.75">
      <c r="K2838" s="118"/>
      <c r="L2838" s="118"/>
      <c r="M2838" s="126"/>
      <c r="N2838" s="126"/>
      <c r="O2838" s="126"/>
      <c r="P2838" s="135"/>
      <c r="Q2838" s="135"/>
    </row>
    <row r="2839" spans="11:17" ht="12.75">
      <c r="K2839" s="118"/>
      <c r="L2839" s="118"/>
      <c r="M2839" s="126"/>
      <c r="N2839" s="126"/>
      <c r="O2839" s="126"/>
      <c r="P2839" s="135"/>
      <c r="Q2839" s="135"/>
    </row>
    <row r="2840" spans="11:17" ht="12.75">
      <c r="K2840" s="118"/>
      <c r="L2840" s="118"/>
      <c r="M2840" s="126"/>
      <c r="N2840" s="126"/>
      <c r="O2840" s="126"/>
      <c r="P2840" s="135"/>
      <c r="Q2840" s="135"/>
    </row>
    <row r="2841" spans="11:17" ht="12.75">
      <c r="K2841" s="118"/>
      <c r="L2841" s="118"/>
      <c r="M2841" s="126"/>
      <c r="N2841" s="126"/>
      <c r="O2841" s="126"/>
      <c r="P2841" s="135"/>
      <c r="Q2841" s="135"/>
    </row>
    <row r="2842" spans="11:17" ht="12.75">
      <c r="K2842" s="118"/>
      <c r="L2842" s="118"/>
      <c r="M2842" s="126"/>
      <c r="N2842" s="126"/>
      <c r="O2842" s="126"/>
      <c r="P2842" s="135"/>
      <c r="Q2842" s="135"/>
    </row>
    <row r="2843" spans="11:17" ht="12.75">
      <c r="K2843" s="118"/>
      <c r="L2843" s="118"/>
      <c r="M2843" s="126"/>
      <c r="N2843" s="126"/>
      <c r="O2843" s="126"/>
      <c r="P2843" s="135"/>
      <c r="Q2843" s="135"/>
    </row>
    <row r="2844" spans="11:17" ht="12.75">
      <c r="K2844" s="118"/>
      <c r="L2844" s="118"/>
      <c r="M2844" s="126"/>
      <c r="N2844" s="126"/>
      <c r="O2844" s="126"/>
      <c r="P2844" s="135"/>
      <c r="Q2844" s="135"/>
    </row>
    <row r="2845" spans="11:17" ht="12.75">
      <c r="K2845" s="118"/>
      <c r="L2845" s="118"/>
      <c r="M2845" s="126"/>
      <c r="N2845" s="126"/>
      <c r="O2845" s="126"/>
      <c r="P2845" s="135"/>
      <c r="Q2845" s="135"/>
    </row>
    <row r="2846" spans="11:17" ht="12.75">
      <c r="K2846" s="118"/>
      <c r="L2846" s="118"/>
      <c r="M2846" s="126"/>
      <c r="N2846" s="126"/>
      <c r="O2846" s="126"/>
      <c r="P2846" s="135"/>
      <c r="Q2846" s="135"/>
    </row>
    <row r="2847" spans="11:17" ht="12.75">
      <c r="K2847" s="118"/>
      <c r="L2847" s="118"/>
      <c r="M2847" s="126"/>
      <c r="N2847" s="126"/>
      <c r="O2847" s="126"/>
      <c r="P2847" s="135"/>
      <c r="Q2847" s="135"/>
    </row>
    <row r="2848" spans="11:17" ht="12.75">
      <c r="K2848" s="118"/>
      <c r="L2848" s="118"/>
      <c r="M2848" s="126"/>
      <c r="N2848" s="126"/>
      <c r="O2848" s="126"/>
      <c r="P2848" s="135"/>
      <c r="Q2848" s="135"/>
    </row>
    <row r="2849" spans="11:17" ht="12.75">
      <c r="K2849" s="118"/>
      <c r="L2849" s="118"/>
      <c r="M2849" s="126"/>
      <c r="N2849" s="126"/>
      <c r="O2849" s="126"/>
      <c r="P2849" s="135"/>
      <c r="Q2849" s="135"/>
    </row>
    <row r="2850" spans="11:17" ht="12.75">
      <c r="K2850" s="118"/>
      <c r="L2850" s="118"/>
      <c r="M2850" s="126"/>
      <c r="N2850" s="126"/>
      <c r="O2850" s="126"/>
      <c r="P2850" s="135"/>
      <c r="Q2850" s="135"/>
    </row>
    <row r="2851" spans="11:17" ht="12.75">
      <c r="K2851" s="118"/>
      <c r="L2851" s="118"/>
      <c r="M2851" s="126"/>
      <c r="N2851" s="126"/>
      <c r="O2851" s="126"/>
      <c r="P2851" s="135"/>
      <c r="Q2851" s="135"/>
    </row>
    <row r="2852" spans="11:17" ht="12.75">
      <c r="K2852" s="118"/>
      <c r="L2852" s="118"/>
      <c r="M2852" s="126"/>
      <c r="N2852" s="126"/>
      <c r="O2852" s="126"/>
      <c r="P2852" s="135"/>
      <c r="Q2852" s="135"/>
    </row>
    <row r="2853" spans="11:17" ht="12.75">
      <c r="K2853" s="118"/>
      <c r="L2853" s="118"/>
      <c r="M2853" s="126"/>
      <c r="N2853" s="126"/>
      <c r="O2853" s="126"/>
      <c r="P2853" s="135"/>
      <c r="Q2853" s="135"/>
    </row>
    <row r="2854" spans="11:17" ht="12.75">
      <c r="K2854" s="118"/>
      <c r="L2854" s="118"/>
      <c r="M2854" s="126"/>
      <c r="N2854" s="126"/>
      <c r="O2854" s="126"/>
      <c r="P2854" s="135"/>
      <c r="Q2854" s="135"/>
    </row>
    <row r="2855" spans="11:17" ht="12.75">
      <c r="K2855" s="118"/>
      <c r="L2855" s="118"/>
      <c r="M2855" s="126"/>
      <c r="N2855" s="126"/>
      <c r="O2855" s="126"/>
      <c r="P2855" s="135"/>
      <c r="Q2855" s="135"/>
    </row>
    <row r="2856" spans="11:17" ht="12.75">
      <c r="K2856" s="118"/>
      <c r="L2856" s="118"/>
      <c r="M2856" s="126"/>
      <c r="N2856" s="126"/>
      <c r="O2856" s="126"/>
      <c r="P2856" s="135"/>
      <c r="Q2856" s="135"/>
    </row>
    <row r="2857" spans="11:17" ht="12.75">
      <c r="K2857" s="118"/>
      <c r="L2857" s="118"/>
      <c r="M2857" s="126"/>
      <c r="N2857" s="126"/>
      <c r="O2857" s="126"/>
      <c r="P2857" s="135"/>
      <c r="Q2857" s="135"/>
    </row>
    <row r="2858" spans="11:17" ht="12.75">
      <c r="K2858" s="118"/>
      <c r="L2858" s="118"/>
      <c r="M2858" s="126"/>
      <c r="N2858" s="126"/>
      <c r="O2858" s="126"/>
      <c r="P2858" s="135"/>
      <c r="Q2858" s="135"/>
    </row>
    <row r="2859" spans="11:17" ht="12.75">
      <c r="K2859" s="118"/>
      <c r="L2859" s="118"/>
      <c r="M2859" s="126"/>
      <c r="N2859" s="126"/>
      <c r="O2859" s="126"/>
      <c r="P2859" s="135"/>
      <c r="Q2859" s="135"/>
    </row>
    <row r="2860" spans="11:17" ht="12.75">
      <c r="K2860" s="118"/>
      <c r="L2860" s="118"/>
      <c r="M2860" s="126"/>
      <c r="N2860" s="126"/>
      <c r="O2860" s="126"/>
      <c r="P2860" s="135"/>
      <c r="Q2860" s="135"/>
    </row>
    <row r="2861" spans="11:17" ht="12.75">
      <c r="K2861" s="118"/>
      <c r="L2861" s="118"/>
      <c r="M2861" s="126"/>
      <c r="N2861" s="126"/>
      <c r="O2861" s="126"/>
      <c r="P2861" s="135"/>
      <c r="Q2861" s="135"/>
    </row>
    <row r="2862" spans="11:17" ht="12.75">
      <c r="K2862" s="118"/>
      <c r="L2862" s="118"/>
      <c r="M2862" s="126"/>
      <c r="N2862" s="126"/>
      <c r="O2862" s="126"/>
      <c r="P2862" s="135"/>
      <c r="Q2862" s="135"/>
    </row>
    <row r="2863" spans="11:17" ht="12.75">
      <c r="K2863" s="118"/>
      <c r="L2863" s="118"/>
      <c r="M2863" s="126"/>
      <c r="N2863" s="126"/>
      <c r="O2863" s="126"/>
      <c r="P2863" s="135"/>
      <c r="Q2863" s="135"/>
    </row>
    <row r="2864" spans="11:17" ht="12.75">
      <c r="K2864" s="118"/>
      <c r="L2864" s="118"/>
      <c r="M2864" s="126"/>
      <c r="N2864" s="126"/>
      <c r="O2864" s="126"/>
      <c r="P2864" s="135"/>
      <c r="Q2864" s="135"/>
    </row>
    <row r="2865" spans="11:17" ht="12.75">
      <c r="K2865" s="118"/>
      <c r="L2865" s="118"/>
      <c r="M2865" s="126"/>
      <c r="N2865" s="126"/>
      <c r="O2865" s="126"/>
      <c r="P2865" s="135"/>
      <c r="Q2865" s="135"/>
    </row>
    <row r="2866" spans="11:17" ht="12.75">
      <c r="K2866" s="118"/>
      <c r="L2866" s="118"/>
      <c r="M2866" s="126"/>
      <c r="N2866" s="126"/>
      <c r="O2866" s="126"/>
      <c r="P2866" s="135"/>
      <c r="Q2866" s="135"/>
    </row>
    <row r="2867" spans="11:17" ht="12.75">
      <c r="K2867" s="118"/>
      <c r="L2867" s="118"/>
      <c r="M2867" s="126"/>
      <c r="N2867" s="126"/>
      <c r="O2867" s="126"/>
      <c r="P2867" s="135"/>
      <c r="Q2867" s="135"/>
    </row>
    <row r="2868" spans="11:17" ht="12.75">
      <c r="K2868" s="118"/>
      <c r="L2868" s="118"/>
      <c r="M2868" s="126"/>
      <c r="N2868" s="126"/>
      <c r="O2868" s="126"/>
      <c r="P2868" s="135"/>
      <c r="Q2868" s="135"/>
    </row>
    <row r="2869" spans="11:17" ht="12.75">
      <c r="K2869" s="118"/>
      <c r="L2869" s="118"/>
      <c r="M2869" s="126"/>
      <c r="N2869" s="126"/>
      <c r="O2869" s="126"/>
      <c r="P2869" s="135"/>
      <c r="Q2869" s="135"/>
    </row>
    <row r="2870" spans="11:17" ht="12.75">
      <c r="K2870" s="118"/>
      <c r="L2870" s="118"/>
      <c r="M2870" s="126"/>
      <c r="N2870" s="126"/>
      <c r="O2870" s="126"/>
      <c r="P2870" s="135"/>
      <c r="Q2870" s="135"/>
    </row>
    <row r="2871" spans="11:17" ht="12.75">
      <c r="K2871" s="118"/>
      <c r="L2871" s="118"/>
      <c r="M2871" s="126"/>
      <c r="N2871" s="126"/>
      <c r="O2871" s="126"/>
      <c r="P2871" s="135"/>
      <c r="Q2871" s="135"/>
    </row>
    <row r="2872" spans="11:17" ht="12.75">
      <c r="K2872" s="118"/>
      <c r="L2872" s="118"/>
      <c r="M2872" s="126"/>
      <c r="N2872" s="126"/>
      <c r="O2872" s="126"/>
      <c r="P2872" s="135"/>
      <c r="Q2872" s="135"/>
    </row>
    <row r="2873" spans="11:17" ht="12.75">
      <c r="K2873" s="118"/>
      <c r="L2873" s="118"/>
      <c r="M2873" s="126"/>
      <c r="N2873" s="126"/>
      <c r="O2873" s="126"/>
      <c r="P2873" s="135"/>
      <c r="Q2873" s="135"/>
    </row>
    <row r="2874" spans="11:17" ht="12.75">
      <c r="K2874" s="118"/>
      <c r="L2874" s="118"/>
      <c r="M2874" s="126"/>
      <c r="N2874" s="126"/>
      <c r="O2874" s="126"/>
      <c r="P2874" s="135"/>
      <c r="Q2874" s="135"/>
    </row>
    <row r="2875" spans="11:17" ht="12.75">
      <c r="K2875" s="118"/>
      <c r="L2875" s="118"/>
      <c r="M2875" s="126"/>
      <c r="N2875" s="126"/>
      <c r="O2875" s="126"/>
      <c r="P2875" s="135"/>
      <c r="Q2875" s="135"/>
    </row>
    <row r="2876" spans="11:17" ht="12.75">
      <c r="K2876" s="118"/>
      <c r="L2876" s="118"/>
      <c r="M2876" s="126"/>
      <c r="N2876" s="126"/>
      <c r="O2876" s="126"/>
      <c r="P2876" s="135"/>
      <c r="Q2876" s="135"/>
    </row>
    <row r="2877" spans="11:17" ht="12.75">
      <c r="K2877" s="118"/>
      <c r="L2877" s="118"/>
      <c r="M2877" s="126"/>
      <c r="N2877" s="126"/>
      <c r="O2877" s="126"/>
      <c r="P2877" s="135"/>
      <c r="Q2877" s="135"/>
    </row>
    <row r="2878" spans="11:17" ht="12.75">
      <c r="K2878" s="118"/>
      <c r="L2878" s="118"/>
      <c r="M2878" s="126"/>
      <c r="N2878" s="126"/>
      <c r="O2878" s="126"/>
      <c r="P2878" s="135"/>
      <c r="Q2878" s="135"/>
    </row>
    <row r="2879" spans="11:17" ht="12.75">
      <c r="K2879" s="118"/>
      <c r="L2879" s="118"/>
      <c r="M2879" s="126"/>
      <c r="N2879" s="126"/>
      <c r="O2879" s="126"/>
      <c r="P2879" s="135"/>
      <c r="Q2879" s="135"/>
    </row>
    <row r="2880" spans="11:17" ht="12.75">
      <c r="K2880" s="118"/>
      <c r="L2880" s="118"/>
      <c r="M2880" s="126"/>
      <c r="N2880" s="126"/>
      <c r="O2880" s="126"/>
      <c r="P2880" s="135"/>
      <c r="Q2880" s="135"/>
    </row>
    <row r="2881" spans="11:17" ht="12.75">
      <c r="K2881" s="118"/>
      <c r="L2881" s="118"/>
      <c r="M2881" s="126"/>
      <c r="N2881" s="126"/>
      <c r="O2881" s="126"/>
      <c r="P2881" s="135"/>
      <c r="Q2881" s="135"/>
    </row>
    <row r="2882" spans="11:17" ht="12.75">
      <c r="K2882" s="118"/>
      <c r="L2882" s="118"/>
      <c r="M2882" s="126"/>
      <c r="N2882" s="126"/>
      <c r="O2882" s="126"/>
      <c r="P2882" s="135"/>
      <c r="Q2882" s="135"/>
    </row>
    <row r="2883" spans="11:17" ht="12.75">
      <c r="K2883" s="118"/>
      <c r="L2883" s="118"/>
      <c r="M2883" s="126"/>
      <c r="N2883" s="126"/>
      <c r="O2883" s="126"/>
      <c r="P2883" s="135"/>
      <c r="Q2883" s="135"/>
    </row>
    <row r="2884" spans="11:17" ht="12.75">
      <c r="K2884" s="118"/>
      <c r="L2884" s="118"/>
      <c r="M2884" s="126"/>
      <c r="N2884" s="126"/>
      <c r="O2884" s="126"/>
      <c r="P2884" s="135"/>
      <c r="Q2884" s="135"/>
    </row>
    <row r="2885" spans="11:17" ht="12.75">
      <c r="K2885" s="118"/>
      <c r="L2885" s="118"/>
      <c r="M2885" s="126"/>
      <c r="N2885" s="126"/>
      <c r="O2885" s="126"/>
      <c r="P2885" s="135"/>
      <c r="Q2885" s="135"/>
    </row>
    <row r="2886" spans="11:17" ht="12.75">
      <c r="K2886" s="118"/>
      <c r="L2886" s="118"/>
      <c r="M2886" s="126"/>
      <c r="N2886" s="126"/>
      <c r="O2886" s="126"/>
      <c r="P2886" s="135"/>
      <c r="Q2886" s="135"/>
    </row>
    <row r="2887" spans="11:17" ht="12.75">
      <c r="K2887" s="118"/>
      <c r="L2887" s="118"/>
      <c r="M2887" s="126"/>
      <c r="N2887" s="126"/>
      <c r="O2887" s="126"/>
      <c r="P2887" s="135"/>
      <c r="Q2887" s="135"/>
    </row>
    <row r="2888" spans="11:17" ht="12.75">
      <c r="K2888" s="118"/>
      <c r="L2888" s="118"/>
      <c r="M2888" s="126"/>
      <c r="N2888" s="126"/>
      <c r="O2888" s="126"/>
      <c r="P2888" s="135"/>
      <c r="Q2888" s="135"/>
    </row>
    <row r="2889" spans="11:17" ht="12.75">
      <c r="K2889" s="118"/>
      <c r="L2889" s="118"/>
      <c r="M2889" s="126"/>
      <c r="N2889" s="126"/>
      <c r="O2889" s="126"/>
      <c r="P2889" s="135"/>
      <c r="Q2889" s="135"/>
    </row>
    <row r="2890" spans="11:17" ht="12.75">
      <c r="K2890" s="118"/>
      <c r="L2890" s="118"/>
      <c r="M2890" s="126"/>
      <c r="N2890" s="126"/>
      <c r="O2890" s="126"/>
      <c r="P2890" s="135"/>
      <c r="Q2890" s="135"/>
    </row>
    <row r="2891" spans="11:17" ht="12.75">
      <c r="K2891" s="118"/>
      <c r="L2891" s="118"/>
      <c r="M2891" s="126"/>
      <c r="N2891" s="126"/>
      <c r="O2891" s="126"/>
      <c r="P2891" s="135"/>
      <c r="Q2891" s="135"/>
    </row>
    <row r="2892" spans="11:17" ht="12.75">
      <c r="K2892" s="118"/>
      <c r="L2892" s="118"/>
      <c r="M2892" s="126"/>
      <c r="N2892" s="126"/>
      <c r="O2892" s="126"/>
      <c r="P2892" s="135"/>
      <c r="Q2892" s="135"/>
    </row>
    <row r="2893" spans="11:17" ht="12.75">
      <c r="K2893" s="118"/>
      <c r="L2893" s="118"/>
      <c r="M2893" s="126"/>
      <c r="N2893" s="126"/>
      <c r="O2893" s="126"/>
      <c r="P2893" s="135"/>
      <c r="Q2893" s="135"/>
    </row>
    <row r="2894" spans="11:17" ht="12.75">
      <c r="K2894" s="118"/>
      <c r="L2894" s="118"/>
      <c r="M2894" s="126"/>
      <c r="N2894" s="126"/>
      <c r="O2894" s="126"/>
      <c r="P2894" s="135"/>
      <c r="Q2894" s="135"/>
    </row>
    <row r="2895" spans="11:17" ht="12.75">
      <c r="K2895" s="118"/>
      <c r="L2895" s="118"/>
      <c r="M2895" s="126"/>
      <c r="N2895" s="126"/>
      <c r="O2895" s="126"/>
      <c r="P2895" s="135"/>
      <c r="Q2895" s="135"/>
    </row>
    <row r="2896" spans="11:17" ht="12.75">
      <c r="K2896" s="118"/>
      <c r="L2896" s="118"/>
      <c r="M2896" s="126"/>
      <c r="N2896" s="126"/>
      <c r="O2896" s="126"/>
      <c r="P2896" s="135"/>
      <c r="Q2896" s="135"/>
    </row>
    <row r="2897" spans="11:17" ht="12.75">
      <c r="K2897" s="118"/>
      <c r="L2897" s="118"/>
      <c r="M2897" s="126"/>
      <c r="N2897" s="126"/>
      <c r="O2897" s="126"/>
      <c r="P2897" s="135"/>
      <c r="Q2897" s="135"/>
    </row>
    <row r="2898" spans="11:17" ht="12.75">
      <c r="K2898" s="118"/>
      <c r="L2898" s="118"/>
      <c r="M2898" s="126"/>
      <c r="N2898" s="126"/>
      <c r="O2898" s="126"/>
      <c r="P2898" s="135"/>
      <c r="Q2898" s="135"/>
    </row>
    <row r="2899" spans="11:17" ht="12.75">
      <c r="K2899" s="118"/>
      <c r="L2899" s="118"/>
      <c r="M2899" s="126"/>
      <c r="N2899" s="126"/>
      <c r="O2899" s="126"/>
      <c r="P2899" s="135"/>
      <c r="Q2899" s="135"/>
    </row>
    <row r="2900" spans="11:17" ht="12.75">
      <c r="K2900" s="118"/>
      <c r="L2900" s="118"/>
      <c r="M2900" s="126"/>
      <c r="N2900" s="126"/>
      <c r="O2900" s="126"/>
      <c r="P2900" s="135"/>
      <c r="Q2900" s="135"/>
    </row>
    <row r="2901" spans="11:17" ht="12.75">
      <c r="K2901" s="118"/>
      <c r="L2901" s="118"/>
      <c r="M2901" s="126"/>
      <c r="N2901" s="126"/>
      <c r="O2901" s="126"/>
      <c r="P2901" s="135"/>
      <c r="Q2901" s="135"/>
    </row>
    <row r="2902" spans="11:17" ht="12.75">
      <c r="K2902" s="118"/>
      <c r="L2902" s="118"/>
      <c r="M2902" s="126"/>
      <c r="N2902" s="126"/>
      <c r="O2902" s="126"/>
      <c r="P2902" s="135"/>
      <c r="Q2902" s="135"/>
    </row>
    <row r="2903" spans="11:17" ht="12.75">
      <c r="K2903" s="118"/>
      <c r="L2903" s="118"/>
      <c r="M2903" s="126"/>
      <c r="N2903" s="126"/>
      <c r="O2903" s="126"/>
      <c r="P2903" s="135"/>
      <c r="Q2903" s="135"/>
    </row>
    <row r="2904" spans="11:17" ht="12.75">
      <c r="K2904" s="118"/>
      <c r="L2904" s="118"/>
      <c r="M2904" s="126"/>
      <c r="N2904" s="126"/>
      <c r="O2904" s="126"/>
      <c r="P2904" s="135"/>
      <c r="Q2904" s="135"/>
    </row>
    <row r="2905" spans="11:17" ht="12.75">
      <c r="K2905" s="118"/>
      <c r="L2905" s="118"/>
      <c r="M2905" s="126"/>
      <c r="N2905" s="126"/>
      <c r="O2905" s="126"/>
      <c r="P2905" s="135"/>
      <c r="Q2905" s="135"/>
    </row>
    <row r="2906" spans="11:17" ht="12.75">
      <c r="K2906" s="118"/>
      <c r="L2906" s="118"/>
      <c r="M2906" s="126"/>
      <c r="N2906" s="126"/>
      <c r="O2906" s="126"/>
      <c r="P2906" s="135"/>
      <c r="Q2906" s="135"/>
    </row>
    <row r="2907" spans="11:17" ht="12.75">
      <c r="K2907" s="118"/>
      <c r="L2907" s="118"/>
      <c r="M2907" s="126"/>
      <c r="N2907" s="126"/>
      <c r="O2907" s="126"/>
      <c r="P2907" s="135"/>
      <c r="Q2907" s="135"/>
    </row>
    <row r="2908" spans="11:17" ht="12.75">
      <c r="K2908" s="118"/>
      <c r="L2908" s="118"/>
      <c r="M2908" s="126"/>
      <c r="N2908" s="126"/>
      <c r="O2908" s="126"/>
      <c r="P2908" s="135"/>
      <c r="Q2908" s="135"/>
    </row>
    <row r="2909" spans="11:17" ht="12.75">
      <c r="K2909" s="118"/>
      <c r="L2909" s="118"/>
      <c r="M2909" s="126"/>
      <c r="N2909" s="126"/>
      <c r="O2909" s="126"/>
      <c r="P2909" s="135"/>
      <c r="Q2909" s="135"/>
    </row>
    <row r="2910" spans="11:17" ht="12.75">
      <c r="K2910" s="118"/>
      <c r="L2910" s="118"/>
      <c r="M2910" s="126"/>
      <c r="N2910" s="126"/>
      <c r="O2910" s="126"/>
      <c r="P2910" s="135"/>
      <c r="Q2910" s="135"/>
    </row>
    <row r="2911" spans="11:17" ht="12.75">
      <c r="K2911" s="118"/>
      <c r="L2911" s="118"/>
      <c r="M2911" s="126"/>
      <c r="N2911" s="126"/>
      <c r="O2911" s="126"/>
      <c r="P2911" s="135"/>
      <c r="Q2911" s="135"/>
    </row>
    <row r="2912" spans="11:17" ht="12.75">
      <c r="K2912" s="118"/>
      <c r="L2912" s="118"/>
      <c r="M2912" s="126"/>
      <c r="N2912" s="126"/>
      <c r="O2912" s="126"/>
      <c r="P2912" s="135"/>
      <c r="Q2912" s="135"/>
    </row>
    <row r="2913" spans="11:17" ht="12.75">
      <c r="K2913" s="118"/>
      <c r="L2913" s="118"/>
      <c r="M2913" s="126"/>
      <c r="N2913" s="126"/>
      <c r="O2913" s="126"/>
      <c r="P2913" s="135"/>
      <c r="Q2913" s="135"/>
    </row>
    <row r="2914" spans="11:17" ht="12.75">
      <c r="K2914" s="118"/>
      <c r="L2914" s="118"/>
      <c r="M2914" s="126"/>
      <c r="N2914" s="126"/>
      <c r="O2914" s="126"/>
      <c r="P2914" s="135"/>
      <c r="Q2914" s="135"/>
    </row>
    <row r="2915" spans="11:17" ht="12.75">
      <c r="K2915" s="118"/>
      <c r="L2915" s="118"/>
      <c r="M2915" s="126"/>
      <c r="N2915" s="126"/>
      <c r="O2915" s="126"/>
      <c r="P2915" s="135"/>
      <c r="Q2915" s="135"/>
    </row>
    <row r="2916" spans="11:17" ht="12.75">
      <c r="K2916" s="118"/>
      <c r="L2916" s="118"/>
      <c r="M2916" s="126"/>
      <c r="N2916" s="126"/>
      <c r="O2916" s="126"/>
      <c r="P2916" s="135"/>
      <c r="Q2916" s="135"/>
    </row>
    <row r="2917" spans="11:17" ht="12.75">
      <c r="K2917" s="118"/>
      <c r="L2917" s="118"/>
      <c r="M2917" s="126"/>
      <c r="N2917" s="126"/>
      <c r="O2917" s="126"/>
      <c r="P2917" s="135"/>
      <c r="Q2917" s="135"/>
    </row>
    <row r="2918" spans="11:17" ht="12.75">
      <c r="K2918" s="118"/>
      <c r="L2918" s="118"/>
      <c r="M2918" s="126"/>
      <c r="N2918" s="126"/>
      <c r="O2918" s="126"/>
      <c r="P2918" s="135"/>
      <c r="Q2918" s="135"/>
    </row>
    <row r="2919" spans="11:17" ht="12.75">
      <c r="K2919" s="118"/>
      <c r="L2919" s="118"/>
      <c r="M2919" s="126"/>
      <c r="N2919" s="126"/>
      <c r="O2919" s="126"/>
      <c r="P2919" s="135"/>
      <c r="Q2919" s="135"/>
    </row>
    <row r="2920" spans="11:17" ht="12.75">
      <c r="K2920" s="118"/>
      <c r="L2920" s="118"/>
      <c r="M2920" s="126"/>
      <c r="N2920" s="126"/>
      <c r="O2920" s="126"/>
      <c r="P2920" s="135"/>
      <c r="Q2920" s="135"/>
    </row>
    <row r="2921" spans="11:17" ht="12.75">
      <c r="K2921" s="118"/>
      <c r="L2921" s="118"/>
      <c r="M2921" s="126"/>
      <c r="N2921" s="126"/>
      <c r="O2921" s="126"/>
      <c r="P2921" s="135"/>
      <c r="Q2921" s="135"/>
    </row>
    <row r="2922" spans="11:17" ht="12.75">
      <c r="K2922" s="118"/>
      <c r="L2922" s="118"/>
      <c r="M2922" s="126"/>
      <c r="N2922" s="126"/>
      <c r="O2922" s="126"/>
      <c r="P2922" s="135"/>
      <c r="Q2922" s="135"/>
    </row>
    <row r="2923" spans="11:17" ht="12.75">
      <c r="K2923" s="118"/>
      <c r="L2923" s="118"/>
      <c r="M2923" s="126"/>
      <c r="N2923" s="126"/>
      <c r="O2923" s="126"/>
      <c r="P2923" s="135"/>
      <c r="Q2923" s="135"/>
    </row>
    <row r="2924" spans="11:17" ht="12.75">
      <c r="K2924" s="118"/>
      <c r="L2924" s="118"/>
      <c r="M2924" s="126"/>
      <c r="N2924" s="126"/>
      <c r="O2924" s="126"/>
      <c r="P2924" s="135"/>
      <c r="Q2924" s="135"/>
    </row>
    <row r="2925" spans="11:17" ht="12.75">
      <c r="K2925" s="118"/>
      <c r="L2925" s="118"/>
      <c r="M2925" s="126"/>
      <c r="N2925" s="126"/>
      <c r="O2925" s="126"/>
      <c r="P2925" s="135"/>
      <c r="Q2925" s="135"/>
    </row>
    <row r="2926" spans="11:17" ht="12.75">
      <c r="K2926" s="118"/>
      <c r="L2926" s="118"/>
      <c r="M2926" s="126"/>
      <c r="N2926" s="126"/>
      <c r="O2926" s="126"/>
      <c r="P2926" s="135"/>
      <c r="Q2926" s="135"/>
    </row>
    <row r="2927" spans="11:17" ht="12.75">
      <c r="K2927" s="118"/>
      <c r="L2927" s="118"/>
      <c r="M2927" s="126"/>
      <c r="N2927" s="126"/>
      <c r="O2927" s="126"/>
      <c r="P2927" s="135"/>
      <c r="Q2927" s="135"/>
    </row>
    <row r="2928" spans="11:17" ht="12.75">
      <c r="K2928" s="118"/>
      <c r="L2928" s="118"/>
      <c r="M2928" s="126"/>
      <c r="N2928" s="126"/>
      <c r="O2928" s="126"/>
      <c r="P2928" s="135"/>
      <c r="Q2928" s="135"/>
    </row>
    <row r="2929" spans="11:17" ht="12.75">
      <c r="K2929" s="118"/>
      <c r="L2929" s="118"/>
      <c r="M2929" s="126"/>
      <c r="N2929" s="126"/>
      <c r="O2929" s="126"/>
      <c r="P2929" s="135"/>
      <c r="Q2929" s="135"/>
    </row>
    <row r="2930" spans="11:17" ht="12.75">
      <c r="K2930" s="118"/>
      <c r="L2930" s="118"/>
      <c r="M2930" s="126"/>
      <c r="N2930" s="126"/>
      <c r="O2930" s="126"/>
      <c r="P2930" s="135"/>
      <c r="Q2930" s="135"/>
    </row>
    <row r="2931" spans="11:17" ht="12.75">
      <c r="K2931" s="118"/>
      <c r="L2931" s="118"/>
      <c r="M2931" s="126"/>
      <c r="N2931" s="126"/>
      <c r="O2931" s="126"/>
      <c r="P2931" s="135"/>
      <c r="Q2931" s="135"/>
    </row>
    <row r="2932" spans="11:17" ht="12.75">
      <c r="K2932" s="118"/>
      <c r="L2932" s="118"/>
      <c r="M2932" s="126"/>
      <c r="N2932" s="126"/>
      <c r="O2932" s="126"/>
      <c r="P2932" s="135"/>
      <c r="Q2932" s="135"/>
    </row>
    <row r="2933" spans="11:17" ht="12.75">
      <c r="K2933" s="118"/>
      <c r="L2933" s="118"/>
      <c r="M2933" s="126"/>
      <c r="N2933" s="126"/>
      <c r="O2933" s="126"/>
      <c r="P2933" s="135"/>
      <c r="Q2933" s="135"/>
    </row>
    <row r="2934" spans="11:17" ht="12.75">
      <c r="K2934" s="118"/>
      <c r="L2934" s="118"/>
      <c r="M2934" s="126"/>
      <c r="N2934" s="126"/>
      <c r="O2934" s="126"/>
      <c r="P2934" s="135"/>
      <c r="Q2934" s="135"/>
    </row>
    <row r="2935" spans="11:17" ht="12.75">
      <c r="K2935" s="118"/>
      <c r="L2935" s="118"/>
      <c r="M2935" s="126"/>
      <c r="N2935" s="126"/>
      <c r="O2935" s="126"/>
      <c r="P2935" s="135"/>
      <c r="Q2935" s="135"/>
    </row>
    <row r="2936" spans="11:17" ht="12.75">
      <c r="K2936" s="118"/>
      <c r="L2936" s="118"/>
      <c r="M2936" s="126"/>
      <c r="N2936" s="126"/>
      <c r="O2936" s="126"/>
      <c r="P2936" s="135"/>
      <c r="Q2936" s="135"/>
    </row>
    <row r="2937" spans="11:17" ht="12.75">
      <c r="K2937" s="118"/>
      <c r="L2937" s="118"/>
      <c r="M2937" s="126"/>
      <c r="N2937" s="126"/>
      <c r="O2937" s="126"/>
      <c r="P2937" s="135"/>
      <c r="Q2937" s="135"/>
    </row>
    <row r="2938" spans="11:17" ht="12.75">
      <c r="K2938" s="118"/>
      <c r="L2938" s="118"/>
      <c r="M2938" s="126"/>
      <c r="N2938" s="126"/>
      <c r="O2938" s="126"/>
      <c r="P2938" s="135"/>
      <c r="Q2938" s="135"/>
    </row>
    <row r="2939" spans="11:17" ht="12.75">
      <c r="K2939" s="118"/>
      <c r="L2939" s="118"/>
      <c r="M2939" s="126"/>
      <c r="N2939" s="126"/>
      <c r="O2939" s="126"/>
      <c r="P2939" s="135"/>
      <c r="Q2939" s="135"/>
    </row>
    <row r="2940" spans="11:17" ht="12.75">
      <c r="K2940" s="118"/>
      <c r="L2940" s="118"/>
      <c r="M2940" s="126"/>
      <c r="N2940" s="126"/>
      <c r="O2940" s="126"/>
      <c r="P2940" s="135"/>
      <c r="Q2940" s="135"/>
    </row>
    <row r="2941" spans="11:17" ht="12.75">
      <c r="K2941" s="118"/>
      <c r="L2941" s="118"/>
      <c r="M2941" s="126"/>
      <c r="N2941" s="126"/>
      <c r="O2941" s="126"/>
      <c r="P2941" s="135"/>
      <c r="Q2941" s="135"/>
    </row>
    <row r="2942" spans="11:17" ht="12.75">
      <c r="K2942" s="118"/>
      <c r="L2942" s="118"/>
      <c r="M2942" s="126"/>
      <c r="N2942" s="126"/>
      <c r="O2942" s="126"/>
      <c r="P2942" s="135"/>
      <c r="Q2942" s="135"/>
    </row>
    <row r="2943" spans="11:17" ht="12.75">
      <c r="K2943" s="118"/>
      <c r="L2943" s="118"/>
      <c r="M2943" s="126"/>
      <c r="N2943" s="126"/>
      <c r="O2943" s="126"/>
      <c r="P2943" s="135"/>
      <c r="Q2943" s="135"/>
    </row>
    <row r="2944" spans="11:17" ht="12.75">
      <c r="K2944" s="118"/>
      <c r="L2944" s="118"/>
      <c r="M2944" s="126"/>
      <c r="N2944" s="126"/>
      <c r="O2944" s="126"/>
      <c r="P2944" s="135"/>
      <c r="Q2944" s="135"/>
    </row>
    <row r="2945" spans="11:17" ht="12.75">
      <c r="K2945" s="118"/>
      <c r="L2945" s="118"/>
      <c r="M2945" s="126"/>
      <c r="N2945" s="126"/>
      <c r="O2945" s="126"/>
      <c r="P2945" s="135"/>
      <c r="Q2945" s="135"/>
    </row>
    <row r="2946" spans="11:17" ht="12.75">
      <c r="K2946" s="118"/>
      <c r="L2946" s="118"/>
      <c r="M2946" s="126"/>
      <c r="N2946" s="126"/>
      <c r="O2946" s="126"/>
      <c r="P2946" s="135"/>
      <c r="Q2946" s="135"/>
    </row>
    <row r="2947" spans="11:17" ht="12.75">
      <c r="K2947" s="118"/>
      <c r="L2947" s="118"/>
      <c r="M2947" s="126"/>
      <c r="N2947" s="126"/>
      <c r="O2947" s="126"/>
      <c r="P2947" s="135"/>
      <c r="Q2947" s="135"/>
    </row>
    <row r="2948" spans="11:17" ht="12.75">
      <c r="K2948" s="118"/>
      <c r="L2948" s="118"/>
      <c r="M2948" s="126"/>
      <c r="N2948" s="126"/>
      <c r="O2948" s="126"/>
      <c r="P2948" s="135"/>
      <c r="Q2948" s="135"/>
    </row>
    <row r="2949" spans="11:17" ht="12.75">
      <c r="K2949" s="118"/>
      <c r="L2949" s="118"/>
      <c r="M2949" s="126"/>
      <c r="N2949" s="126"/>
      <c r="O2949" s="126"/>
      <c r="P2949" s="135"/>
      <c r="Q2949" s="135"/>
    </row>
    <row r="2950" spans="11:17" ht="12.75">
      <c r="K2950" s="118"/>
      <c r="L2950" s="118"/>
      <c r="M2950" s="126"/>
      <c r="N2950" s="126"/>
      <c r="O2950" s="126"/>
      <c r="P2950" s="135"/>
      <c r="Q2950" s="135"/>
    </row>
    <row r="2951" spans="11:17" ht="12.75">
      <c r="K2951" s="118"/>
      <c r="L2951" s="118"/>
      <c r="M2951" s="126"/>
      <c r="N2951" s="126"/>
      <c r="O2951" s="126"/>
      <c r="P2951" s="135"/>
      <c r="Q2951" s="135"/>
    </row>
    <row r="2952" spans="11:17" ht="12.75">
      <c r="K2952" s="118"/>
      <c r="L2952" s="118"/>
      <c r="M2952" s="126"/>
      <c r="N2952" s="126"/>
      <c r="O2952" s="126"/>
      <c r="P2952" s="135"/>
      <c r="Q2952" s="135"/>
    </row>
    <row r="2953" spans="11:17" ht="12.75">
      <c r="K2953" s="118"/>
      <c r="L2953" s="118"/>
      <c r="M2953" s="126"/>
      <c r="N2953" s="126"/>
      <c r="O2953" s="126"/>
      <c r="P2953" s="135"/>
      <c r="Q2953" s="135"/>
    </row>
    <row r="2954" spans="11:17" ht="12.75">
      <c r="K2954" s="118"/>
      <c r="L2954" s="118"/>
      <c r="M2954" s="126"/>
      <c r="N2954" s="126"/>
      <c r="O2954" s="126"/>
      <c r="P2954" s="135"/>
      <c r="Q2954" s="135"/>
    </row>
    <row r="2955" spans="11:17" ht="12.75">
      <c r="K2955" s="118"/>
      <c r="L2955" s="118"/>
      <c r="M2955" s="126"/>
      <c r="N2955" s="126"/>
      <c r="O2955" s="126"/>
      <c r="P2955" s="135"/>
      <c r="Q2955" s="135"/>
    </row>
    <row r="2956" spans="11:17" ht="12.75">
      <c r="K2956" s="118"/>
      <c r="L2956" s="118"/>
      <c r="M2956" s="126"/>
      <c r="N2956" s="126"/>
      <c r="O2956" s="126"/>
      <c r="P2956" s="135"/>
      <c r="Q2956" s="135"/>
    </row>
    <row r="2957" spans="11:17" ht="12.75">
      <c r="K2957" s="118"/>
      <c r="L2957" s="118"/>
      <c r="M2957" s="126"/>
      <c r="N2957" s="126"/>
      <c r="O2957" s="126"/>
      <c r="P2957" s="135"/>
      <c r="Q2957" s="135"/>
    </row>
    <row r="2958" spans="11:17" ht="12.75">
      <c r="K2958" s="118"/>
      <c r="L2958" s="118"/>
      <c r="M2958" s="126"/>
      <c r="N2958" s="126"/>
      <c r="O2958" s="126"/>
      <c r="P2958" s="135"/>
      <c r="Q2958" s="135"/>
    </row>
    <row r="2959" spans="11:17" ht="12.75">
      <c r="K2959" s="118"/>
      <c r="L2959" s="118"/>
      <c r="M2959" s="126"/>
      <c r="N2959" s="126"/>
      <c r="O2959" s="126"/>
      <c r="P2959" s="135"/>
      <c r="Q2959" s="135"/>
    </row>
    <row r="2960" spans="11:17" ht="12.75">
      <c r="K2960" s="118"/>
      <c r="L2960" s="118"/>
      <c r="M2960" s="126"/>
      <c r="N2960" s="126"/>
      <c r="O2960" s="126"/>
      <c r="P2960" s="135"/>
      <c r="Q2960" s="135"/>
    </row>
    <row r="2961" spans="11:17" ht="12.75">
      <c r="K2961" s="118"/>
      <c r="L2961" s="118"/>
      <c r="M2961" s="126"/>
      <c r="N2961" s="126"/>
      <c r="O2961" s="126"/>
      <c r="P2961" s="135"/>
      <c r="Q2961" s="135"/>
    </row>
    <row r="2962" spans="11:17" ht="12.75">
      <c r="K2962" s="118"/>
      <c r="L2962" s="118"/>
      <c r="M2962" s="126"/>
      <c r="N2962" s="126"/>
      <c r="O2962" s="126"/>
      <c r="P2962" s="135"/>
      <c r="Q2962" s="135"/>
    </row>
    <row r="2963" spans="11:17" ht="12.75">
      <c r="K2963" s="118"/>
      <c r="L2963" s="118"/>
      <c r="M2963" s="126"/>
      <c r="N2963" s="126"/>
      <c r="O2963" s="126"/>
      <c r="P2963" s="135"/>
      <c r="Q2963" s="135"/>
    </row>
    <row r="2964" spans="11:17" ht="12.75">
      <c r="K2964" s="118"/>
      <c r="L2964" s="118"/>
      <c r="M2964" s="126"/>
      <c r="N2964" s="126"/>
      <c r="O2964" s="126"/>
      <c r="P2964" s="135"/>
      <c r="Q2964" s="135"/>
    </row>
    <row r="2965" spans="11:17" ht="12.75">
      <c r="K2965" s="118"/>
      <c r="L2965" s="118"/>
      <c r="M2965" s="126"/>
      <c r="N2965" s="126"/>
      <c r="O2965" s="126"/>
      <c r="P2965" s="135"/>
      <c r="Q2965" s="135"/>
    </row>
    <row r="2966" spans="11:17" ht="12.75">
      <c r="K2966" s="118"/>
      <c r="L2966" s="118"/>
      <c r="M2966" s="126"/>
      <c r="N2966" s="126"/>
      <c r="O2966" s="126"/>
      <c r="P2966" s="135"/>
      <c r="Q2966" s="135"/>
    </row>
    <row r="2967" spans="11:17" ht="12.75">
      <c r="K2967" s="118"/>
      <c r="L2967" s="118"/>
      <c r="M2967" s="126"/>
      <c r="N2967" s="126"/>
      <c r="O2967" s="126"/>
      <c r="P2967" s="135"/>
      <c r="Q2967" s="135"/>
    </row>
    <row r="2968" spans="11:17" ht="12.75">
      <c r="K2968" s="118"/>
      <c r="L2968" s="118"/>
      <c r="M2968" s="126"/>
      <c r="N2968" s="126"/>
      <c r="O2968" s="126"/>
      <c r="P2968" s="135"/>
      <c r="Q2968" s="135"/>
    </row>
    <row r="2969" spans="11:17" ht="12.75">
      <c r="K2969" s="118"/>
      <c r="L2969" s="118"/>
      <c r="M2969" s="126"/>
      <c r="N2969" s="126"/>
      <c r="O2969" s="126"/>
      <c r="P2969" s="135"/>
      <c r="Q2969" s="135"/>
    </row>
    <row r="2970" spans="11:17" ht="12.75">
      <c r="K2970" s="118"/>
      <c r="L2970" s="118"/>
      <c r="M2970" s="126"/>
      <c r="N2970" s="126"/>
      <c r="O2970" s="126"/>
      <c r="P2970" s="135"/>
      <c r="Q2970" s="135"/>
    </row>
    <row r="2971" spans="11:17" ht="12.75">
      <c r="K2971" s="118"/>
      <c r="L2971" s="118"/>
      <c r="M2971" s="126"/>
      <c r="N2971" s="126"/>
      <c r="O2971" s="126"/>
      <c r="P2971" s="135"/>
      <c r="Q2971" s="135"/>
    </row>
    <row r="2972" spans="11:17" ht="12.75">
      <c r="K2972" s="118"/>
      <c r="L2972" s="118"/>
      <c r="M2972" s="126"/>
      <c r="N2972" s="126"/>
      <c r="O2972" s="126"/>
      <c r="P2972" s="135"/>
      <c r="Q2972" s="135"/>
    </row>
    <row r="2973" spans="11:17" ht="12.75">
      <c r="K2973" s="118"/>
      <c r="L2973" s="118"/>
      <c r="M2973" s="126"/>
      <c r="N2973" s="126"/>
      <c r="O2973" s="126"/>
      <c r="P2973" s="135"/>
      <c r="Q2973" s="135"/>
    </row>
    <row r="2974" spans="11:17" ht="12.75">
      <c r="K2974" s="118"/>
      <c r="L2974" s="118"/>
      <c r="M2974" s="126"/>
      <c r="N2974" s="126"/>
      <c r="O2974" s="126"/>
      <c r="P2974" s="135"/>
      <c r="Q2974" s="135"/>
    </row>
    <row r="2975" spans="11:17" ht="12.75">
      <c r="K2975" s="118"/>
      <c r="L2975" s="118"/>
      <c r="M2975" s="126"/>
      <c r="N2975" s="126"/>
      <c r="O2975" s="126"/>
      <c r="P2975" s="135"/>
      <c r="Q2975" s="135"/>
    </row>
    <row r="2976" spans="11:17" ht="12.75">
      <c r="K2976" s="118"/>
      <c r="L2976" s="118"/>
      <c r="M2976" s="126"/>
      <c r="N2976" s="126"/>
      <c r="O2976" s="126"/>
      <c r="P2976" s="135"/>
      <c r="Q2976" s="135"/>
    </row>
    <row r="2977" spans="11:17" ht="12.75">
      <c r="K2977" s="118"/>
      <c r="L2977" s="118"/>
      <c r="M2977" s="126"/>
      <c r="N2977" s="126"/>
      <c r="O2977" s="126"/>
      <c r="P2977" s="135"/>
      <c r="Q2977" s="135"/>
    </row>
    <row r="2978" spans="11:17" ht="12.75">
      <c r="K2978" s="118"/>
      <c r="L2978" s="118"/>
      <c r="M2978" s="126"/>
      <c r="N2978" s="126"/>
      <c r="O2978" s="126"/>
      <c r="P2978" s="135"/>
      <c r="Q2978" s="135"/>
    </row>
    <row r="2979" spans="11:17" ht="12.75">
      <c r="K2979" s="118"/>
      <c r="L2979" s="118"/>
      <c r="M2979" s="126"/>
      <c r="N2979" s="126"/>
      <c r="O2979" s="126"/>
      <c r="P2979" s="135"/>
      <c r="Q2979" s="135"/>
    </row>
    <row r="2980" spans="11:17" ht="12.75">
      <c r="K2980" s="118"/>
      <c r="L2980" s="118"/>
      <c r="M2980" s="126"/>
      <c r="N2980" s="126"/>
      <c r="O2980" s="126"/>
      <c r="P2980" s="135"/>
      <c r="Q2980" s="135"/>
    </row>
    <row r="2981" spans="11:17" ht="12.75">
      <c r="K2981" s="118"/>
      <c r="L2981" s="118"/>
      <c r="M2981" s="126"/>
      <c r="N2981" s="126"/>
      <c r="O2981" s="126"/>
      <c r="P2981" s="135"/>
      <c r="Q2981" s="135"/>
    </row>
    <row r="2982" spans="11:17" ht="12.75">
      <c r="K2982" s="118"/>
      <c r="L2982" s="118"/>
      <c r="M2982" s="126"/>
      <c r="N2982" s="126"/>
      <c r="O2982" s="126"/>
      <c r="P2982" s="135"/>
      <c r="Q2982" s="135"/>
    </row>
    <row r="2983" spans="11:17" ht="12.75">
      <c r="K2983" s="118"/>
      <c r="L2983" s="118"/>
      <c r="M2983" s="126"/>
      <c r="N2983" s="126"/>
      <c r="O2983" s="126"/>
      <c r="P2983" s="135"/>
      <c r="Q2983" s="135"/>
    </row>
    <row r="2984" spans="11:17" ht="12.75">
      <c r="K2984" s="118"/>
      <c r="L2984" s="118"/>
      <c r="M2984" s="126"/>
      <c r="N2984" s="126"/>
      <c r="O2984" s="126"/>
      <c r="P2984" s="135"/>
      <c r="Q2984" s="135"/>
    </row>
    <row r="2985" spans="11:17" ht="12.75">
      <c r="K2985" s="118"/>
      <c r="L2985" s="118"/>
      <c r="M2985" s="126"/>
      <c r="N2985" s="126"/>
      <c r="O2985" s="126"/>
      <c r="P2985" s="135"/>
      <c r="Q2985" s="135"/>
    </row>
    <row r="2986" spans="11:17" ht="12.75">
      <c r="K2986" s="118"/>
      <c r="L2986" s="118"/>
      <c r="M2986" s="126"/>
      <c r="N2986" s="126"/>
      <c r="O2986" s="126"/>
      <c r="P2986" s="135"/>
      <c r="Q2986" s="135"/>
    </row>
    <row r="2987" spans="11:17" ht="12.75">
      <c r="K2987" s="118"/>
      <c r="L2987" s="118"/>
      <c r="M2987" s="126"/>
      <c r="N2987" s="126"/>
      <c r="O2987" s="126"/>
      <c r="P2987" s="135"/>
      <c r="Q2987" s="135"/>
    </row>
    <row r="2988" spans="11:17" ht="12.75">
      <c r="K2988" s="118"/>
      <c r="L2988" s="118"/>
      <c r="M2988" s="126"/>
      <c r="N2988" s="126"/>
      <c r="O2988" s="126"/>
      <c r="P2988" s="135"/>
      <c r="Q2988" s="135"/>
    </row>
    <row r="2989" spans="11:17" ht="12.75">
      <c r="K2989" s="118"/>
      <c r="L2989" s="118"/>
      <c r="M2989" s="126"/>
      <c r="N2989" s="126"/>
      <c r="O2989" s="126"/>
      <c r="P2989" s="135"/>
      <c r="Q2989" s="135"/>
    </row>
    <row r="2990" spans="11:17" ht="12.75">
      <c r="K2990" s="118"/>
      <c r="L2990" s="118"/>
      <c r="M2990" s="126"/>
      <c r="N2990" s="126"/>
      <c r="O2990" s="126"/>
      <c r="P2990" s="135"/>
      <c r="Q2990" s="135"/>
    </row>
    <row r="2991" spans="11:17" ht="12.75">
      <c r="K2991" s="118"/>
      <c r="L2991" s="118"/>
      <c r="M2991" s="126"/>
      <c r="N2991" s="126"/>
      <c r="O2991" s="126"/>
      <c r="P2991" s="135"/>
      <c r="Q2991" s="135"/>
    </row>
    <row r="2992" spans="11:17" ht="12.75">
      <c r="K2992" s="118"/>
      <c r="L2992" s="118"/>
      <c r="M2992" s="126"/>
      <c r="N2992" s="126"/>
      <c r="O2992" s="126"/>
      <c r="P2992" s="135"/>
      <c r="Q2992" s="135"/>
    </row>
    <row r="2993" spans="11:17" ht="12.75">
      <c r="K2993" s="118"/>
      <c r="L2993" s="118"/>
      <c r="M2993" s="126"/>
      <c r="N2993" s="126"/>
      <c r="O2993" s="126"/>
      <c r="P2993" s="135"/>
      <c r="Q2993" s="135"/>
    </row>
    <row r="2994" spans="11:17" ht="12.75">
      <c r="K2994" s="118"/>
      <c r="L2994" s="118"/>
      <c r="M2994" s="126"/>
      <c r="N2994" s="126"/>
      <c r="O2994" s="126"/>
      <c r="P2994" s="135"/>
      <c r="Q2994" s="135"/>
    </row>
    <row r="2995" spans="11:17" ht="12.75">
      <c r="K2995" s="118"/>
      <c r="L2995" s="118"/>
      <c r="M2995" s="126"/>
      <c r="N2995" s="126"/>
      <c r="O2995" s="126"/>
      <c r="P2995" s="135"/>
      <c r="Q2995" s="135"/>
    </row>
    <row r="2996" spans="11:17" ht="12.75">
      <c r="K2996" s="118"/>
      <c r="L2996" s="118"/>
      <c r="M2996" s="126"/>
      <c r="N2996" s="126"/>
      <c r="O2996" s="126"/>
      <c r="P2996" s="135"/>
      <c r="Q2996" s="135"/>
    </row>
    <row r="2997" spans="11:17" ht="12.75">
      <c r="K2997" s="118"/>
      <c r="L2997" s="118"/>
      <c r="M2997" s="126"/>
      <c r="N2997" s="126"/>
      <c r="O2997" s="126"/>
      <c r="P2997" s="135"/>
      <c r="Q2997" s="135"/>
    </row>
    <row r="2998" spans="11:17" ht="12.75">
      <c r="K2998" s="118"/>
      <c r="L2998" s="118"/>
      <c r="M2998" s="126"/>
      <c r="N2998" s="126"/>
      <c r="O2998" s="126"/>
      <c r="P2998" s="135"/>
      <c r="Q2998" s="135"/>
    </row>
    <row r="2999" spans="11:17" ht="12.75">
      <c r="K2999" s="118"/>
      <c r="L2999" s="118"/>
      <c r="M2999" s="126"/>
      <c r="N2999" s="126"/>
      <c r="O2999" s="126"/>
      <c r="P2999" s="135"/>
      <c r="Q2999" s="135"/>
    </row>
    <row r="3000" spans="11:17" ht="12.75">
      <c r="K3000" s="118"/>
      <c r="L3000" s="118"/>
      <c r="M3000" s="126"/>
      <c r="N3000" s="126"/>
      <c r="O3000" s="126"/>
      <c r="P3000" s="135"/>
      <c r="Q3000" s="135"/>
    </row>
    <row r="3001" spans="11:17" ht="12.75">
      <c r="K3001" s="118"/>
      <c r="L3001" s="118"/>
      <c r="M3001" s="126"/>
      <c r="N3001" s="126"/>
      <c r="O3001" s="126"/>
      <c r="P3001" s="135"/>
      <c r="Q3001" s="135"/>
    </row>
    <row r="3002" spans="11:17" ht="12.75">
      <c r="K3002" s="118"/>
      <c r="L3002" s="118"/>
      <c r="M3002" s="126"/>
      <c r="N3002" s="126"/>
      <c r="O3002" s="126"/>
      <c r="P3002" s="135"/>
      <c r="Q3002" s="135"/>
    </row>
    <row r="3003" spans="11:17" ht="12.75">
      <c r="K3003" s="118"/>
      <c r="L3003" s="118"/>
      <c r="M3003" s="126"/>
      <c r="N3003" s="126"/>
      <c r="O3003" s="126"/>
      <c r="P3003" s="135"/>
      <c r="Q3003" s="135"/>
    </row>
    <row r="3004" spans="11:17" ht="12.75">
      <c r="K3004" s="118"/>
      <c r="L3004" s="118"/>
      <c r="M3004" s="126"/>
      <c r="N3004" s="126"/>
      <c r="O3004" s="126"/>
      <c r="P3004" s="135"/>
      <c r="Q3004" s="135"/>
    </row>
    <row r="3005" spans="11:17" ht="12.75">
      <c r="K3005" s="118"/>
      <c r="L3005" s="118"/>
      <c r="M3005" s="126"/>
      <c r="N3005" s="126"/>
      <c r="O3005" s="126"/>
      <c r="P3005" s="135"/>
      <c r="Q3005" s="135"/>
    </row>
    <row r="3006" spans="11:17" ht="12.75">
      <c r="K3006" s="118"/>
      <c r="L3006" s="118"/>
      <c r="M3006" s="126"/>
      <c r="N3006" s="126"/>
      <c r="O3006" s="126"/>
      <c r="P3006" s="135"/>
      <c r="Q3006" s="135"/>
    </row>
    <row r="3007" spans="11:17" ht="12.75">
      <c r="K3007" s="118"/>
      <c r="L3007" s="118"/>
      <c r="M3007" s="126"/>
      <c r="N3007" s="126"/>
      <c r="O3007" s="126"/>
      <c r="P3007" s="135"/>
      <c r="Q3007" s="135"/>
    </row>
    <row r="3008" spans="11:17" ht="12.75">
      <c r="K3008" s="118"/>
      <c r="L3008" s="118"/>
      <c r="M3008" s="126"/>
      <c r="N3008" s="126"/>
      <c r="O3008" s="126"/>
      <c r="P3008" s="135"/>
      <c r="Q3008" s="135"/>
    </row>
    <row r="3009" spans="11:17" ht="12.75">
      <c r="K3009" s="118"/>
      <c r="L3009" s="118"/>
      <c r="M3009" s="126"/>
      <c r="N3009" s="126"/>
      <c r="O3009" s="126"/>
      <c r="P3009" s="135"/>
      <c r="Q3009" s="135"/>
    </row>
    <row r="3010" spans="11:17" ht="12.75">
      <c r="K3010" s="118"/>
      <c r="L3010" s="118"/>
      <c r="M3010" s="126"/>
      <c r="N3010" s="126"/>
      <c r="O3010" s="126"/>
      <c r="P3010" s="135"/>
      <c r="Q3010" s="135"/>
    </row>
    <row r="3011" spans="11:17" ht="12.75">
      <c r="K3011" s="118"/>
      <c r="L3011" s="118"/>
      <c r="M3011" s="126"/>
      <c r="N3011" s="126"/>
      <c r="O3011" s="126"/>
      <c r="P3011" s="135"/>
      <c r="Q3011" s="135"/>
    </row>
    <row r="3012" spans="11:17" ht="12.75">
      <c r="K3012" s="118"/>
      <c r="L3012" s="118"/>
      <c r="M3012" s="126"/>
      <c r="N3012" s="126"/>
      <c r="O3012" s="126"/>
      <c r="P3012" s="135"/>
      <c r="Q3012" s="135"/>
    </row>
    <row r="3013" spans="11:17" ht="12.75">
      <c r="K3013" s="118"/>
      <c r="L3013" s="118"/>
      <c r="M3013" s="126"/>
      <c r="N3013" s="126"/>
      <c r="O3013" s="126"/>
      <c r="P3013" s="135"/>
      <c r="Q3013" s="135"/>
    </row>
    <row r="3014" spans="11:17" ht="12.75">
      <c r="K3014" s="118"/>
      <c r="L3014" s="118"/>
      <c r="M3014" s="126"/>
      <c r="N3014" s="126"/>
      <c r="O3014" s="126"/>
      <c r="P3014" s="135"/>
      <c r="Q3014" s="135"/>
    </row>
    <row r="3015" spans="11:17" ht="12.75">
      <c r="K3015" s="118"/>
      <c r="L3015" s="118"/>
      <c r="M3015" s="126"/>
      <c r="N3015" s="126"/>
      <c r="O3015" s="126"/>
      <c r="P3015" s="135"/>
      <c r="Q3015" s="135"/>
    </row>
    <row r="3016" spans="11:17" ht="12.75">
      <c r="K3016" s="118"/>
      <c r="L3016" s="118"/>
      <c r="M3016" s="126"/>
      <c r="N3016" s="126"/>
      <c r="O3016" s="126"/>
      <c r="P3016" s="135"/>
      <c r="Q3016" s="135"/>
    </row>
    <row r="3017" spans="11:17" ht="12.75">
      <c r="K3017" s="118"/>
      <c r="L3017" s="118"/>
      <c r="M3017" s="126"/>
      <c r="N3017" s="126"/>
      <c r="O3017" s="126"/>
      <c r="P3017" s="135"/>
      <c r="Q3017" s="135"/>
    </row>
    <row r="3018" spans="11:17" ht="12.75">
      <c r="K3018" s="118"/>
      <c r="L3018" s="118"/>
      <c r="M3018" s="126"/>
      <c r="N3018" s="126"/>
      <c r="O3018" s="126"/>
      <c r="P3018" s="135"/>
      <c r="Q3018" s="135"/>
    </row>
    <row r="3019" spans="11:17" ht="12.75">
      <c r="K3019" s="118"/>
      <c r="L3019" s="118"/>
      <c r="M3019" s="126"/>
      <c r="N3019" s="126"/>
      <c r="O3019" s="126"/>
      <c r="P3019" s="135"/>
      <c r="Q3019" s="135"/>
    </row>
    <row r="3020" spans="11:17" ht="12.75">
      <c r="K3020" s="118"/>
      <c r="L3020" s="118"/>
      <c r="M3020" s="126"/>
      <c r="N3020" s="126"/>
      <c r="O3020" s="126"/>
      <c r="P3020" s="135"/>
      <c r="Q3020" s="135"/>
    </row>
    <row r="3021" spans="11:17" ht="12.75">
      <c r="K3021" s="118"/>
      <c r="L3021" s="118"/>
      <c r="M3021" s="126"/>
      <c r="N3021" s="126"/>
      <c r="O3021" s="126"/>
      <c r="P3021" s="135"/>
      <c r="Q3021" s="135"/>
    </row>
    <row r="3022" spans="11:17" ht="12.75">
      <c r="K3022" s="118"/>
      <c r="L3022" s="118"/>
      <c r="M3022" s="126"/>
      <c r="N3022" s="126"/>
      <c r="O3022" s="126"/>
      <c r="P3022" s="135"/>
      <c r="Q3022" s="135"/>
    </row>
    <row r="3023" spans="11:17" ht="12.75">
      <c r="K3023" s="118"/>
      <c r="L3023" s="118"/>
      <c r="M3023" s="126"/>
      <c r="N3023" s="126"/>
      <c r="O3023" s="126"/>
      <c r="P3023" s="135"/>
      <c r="Q3023" s="135"/>
    </row>
    <row r="3024" spans="11:17" ht="12.75">
      <c r="K3024" s="118"/>
      <c r="L3024" s="118"/>
      <c r="M3024" s="126"/>
      <c r="N3024" s="126"/>
      <c r="O3024" s="126"/>
      <c r="P3024" s="135"/>
      <c r="Q3024" s="135"/>
    </row>
    <row r="3025" spans="11:17" ht="12.75">
      <c r="K3025" s="118"/>
      <c r="L3025" s="118"/>
      <c r="M3025" s="126"/>
      <c r="N3025" s="126"/>
      <c r="O3025" s="126"/>
      <c r="P3025" s="135"/>
      <c r="Q3025" s="135"/>
    </row>
    <row r="3026" spans="11:17" ht="12.75">
      <c r="K3026" s="118"/>
      <c r="L3026" s="118"/>
      <c r="M3026" s="126"/>
      <c r="N3026" s="126"/>
      <c r="O3026" s="126"/>
      <c r="P3026" s="135"/>
      <c r="Q3026" s="135"/>
    </row>
    <row r="3027" spans="11:17" ht="12.75">
      <c r="K3027" s="118"/>
      <c r="L3027" s="118"/>
      <c r="M3027" s="126"/>
      <c r="N3027" s="126"/>
      <c r="O3027" s="126"/>
      <c r="P3027" s="135"/>
      <c r="Q3027" s="135"/>
    </row>
    <row r="3028" spans="11:17" ht="12.75">
      <c r="K3028" s="118"/>
      <c r="L3028" s="118"/>
      <c r="M3028" s="126"/>
      <c r="N3028" s="126"/>
      <c r="O3028" s="126"/>
      <c r="P3028" s="135"/>
      <c r="Q3028" s="135"/>
    </row>
    <row r="3029" spans="11:17" ht="12.75">
      <c r="K3029" s="118"/>
      <c r="L3029" s="118"/>
      <c r="M3029" s="126"/>
      <c r="N3029" s="126"/>
      <c r="O3029" s="126"/>
      <c r="P3029" s="135"/>
      <c r="Q3029" s="135"/>
    </row>
    <row r="3030" spans="11:17" ht="12.75">
      <c r="K3030" s="118"/>
      <c r="L3030" s="118"/>
      <c r="M3030" s="126"/>
      <c r="N3030" s="126"/>
      <c r="O3030" s="126"/>
      <c r="P3030" s="135"/>
      <c r="Q3030" s="135"/>
    </row>
    <row r="3031" spans="11:17" ht="12.75">
      <c r="K3031" s="118"/>
      <c r="L3031" s="118"/>
      <c r="M3031" s="126"/>
      <c r="N3031" s="126"/>
      <c r="O3031" s="126"/>
      <c r="P3031" s="135"/>
      <c r="Q3031" s="135"/>
    </row>
    <row r="3032" spans="11:17" ht="12.75">
      <c r="K3032" s="118"/>
      <c r="L3032" s="118"/>
      <c r="M3032" s="126"/>
      <c r="N3032" s="126"/>
      <c r="O3032" s="126"/>
      <c r="P3032" s="135"/>
      <c r="Q3032" s="135"/>
    </row>
    <row r="3033" spans="11:17" ht="12.75">
      <c r="K3033" s="118"/>
      <c r="L3033" s="118"/>
      <c r="M3033" s="126"/>
      <c r="N3033" s="126"/>
      <c r="O3033" s="126"/>
      <c r="P3033" s="135"/>
      <c r="Q3033" s="135"/>
    </row>
    <row r="3034" spans="11:17" ht="12.75">
      <c r="K3034" s="118"/>
      <c r="L3034" s="118"/>
      <c r="M3034" s="126"/>
      <c r="N3034" s="126"/>
      <c r="O3034" s="126"/>
      <c r="P3034" s="135"/>
      <c r="Q3034" s="135"/>
    </row>
    <row r="3035" spans="11:17" ht="12.75">
      <c r="K3035" s="118"/>
      <c r="L3035" s="118"/>
      <c r="M3035" s="126"/>
      <c r="N3035" s="126"/>
      <c r="O3035" s="126"/>
      <c r="P3035" s="135"/>
      <c r="Q3035" s="135"/>
    </row>
    <row r="3036" spans="11:17" ht="12.75">
      <c r="K3036" s="118"/>
      <c r="L3036" s="118"/>
      <c r="M3036" s="126"/>
      <c r="N3036" s="126"/>
      <c r="O3036" s="126"/>
      <c r="P3036" s="135"/>
      <c r="Q3036" s="135"/>
    </row>
    <row r="3037" spans="11:17" ht="12.75">
      <c r="K3037" s="118"/>
      <c r="L3037" s="118"/>
      <c r="M3037" s="126"/>
      <c r="N3037" s="126"/>
      <c r="O3037" s="126"/>
      <c r="P3037" s="135"/>
      <c r="Q3037" s="135"/>
    </row>
    <row r="3038" spans="11:17" ht="12.75">
      <c r="K3038" s="118"/>
      <c r="L3038" s="118"/>
      <c r="M3038" s="126"/>
      <c r="N3038" s="126"/>
      <c r="O3038" s="126"/>
      <c r="P3038" s="135"/>
      <c r="Q3038" s="135"/>
    </row>
    <row r="3039" spans="11:17" ht="12.75">
      <c r="K3039" s="118"/>
      <c r="L3039" s="118"/>
      <c r="M3039" s="126"/>
      <c r="N3039" s="126"/>
      <c r="O3039" s="126"/>
      <c r="P3039" s="135"/>
      <c r="Q3039" s="135"/>
    </row>
    <row r="3040" spans="11:17" ht="12.75">
      <c r="K3040" s="118"/>
      <c r="L3040" s="118"/>
      <c r="M3040" s="126"/>
      <c r="N3040" s="126"/>
      <c r="O3040" s="126"/>
      <c r="P3040" s="135"/>
      <c r="Q3040" s="135"/>
    </row>
    <row r="3041" spans="11:17" ht="12.75">
      <c r="K3041" s="118"/>
      <c r="L3041" s="118"/>
      <c r="M3041" s="126"/>
      <c r="N3041" s="126"/>
      <c r="O3041" s="126"/>
      <c r="P3041" s="135"/>
      <c r="Q3041" s="135"/>
    </row>
    <row r="3042" spans="11:17" ht="12.75">
      <c r="K3042" s="118"/>
      <c r="L3042" s="118"/>
      <c r="M3042" s="126"/>
      <c r="N3042" s="126"/>
      <c r="O3042" s="126"/>
      <c r="P3042" s="135"/>
      <c r="Q3042" s="135"/>
    </row>
    <row r="3043" spans="11:17" ht="12.75">
      <c r="K3043" s="118"/>
      <c r="L3043" s="118"/>
      <c r="M3043" s="126"/>
      <c r="N3043" s="126"/>
      <c r="O3043" s="126"/>
      <c r="P3043" s="135"/>
      <c r="Q3043" s="135"/>
    </row>
    <row r="3044" spans="11:17" ht="12.75">
      <c r="K3044" s="118"/>
      <c r="L3044" s="118"/>
      <c r="M3044" s="126"/>
      <c r="N3044" s="126"/>
      <c r="O3044" s="126"/>
      <c r="P3044" s="135"/>
      <c r="Q3044" s="135"/>
    </row>
    <row r="3045" spans="11:17" ht="12.75">
      <c r="K3045" s="118"/>
      <c r="L3045" s="118"/>
      <c r="M3045" s="126"/>
      <c r="N3045" s="126"/>
      <c r="O3045" s="126"/>
      <c r="P3045" s="135"/>
      <c r="Q3045" s="135"/>
    </row>
    <row r="3046" spans="11:17" ht="12.75">
      <c r="K3046" s="118"/>
      <c r="L3046" s="118"/>
      <c r="M3046" s="126"/>
      <c r="N3046" s="126"/>
      <c r="O3046" s="126"/>
      <c r="P3046" s="135"/>
      <c r="Q3046" s="135"/>
    </row>
    <row r="3047" spans="11:17" ht="12.75">
      <c r="K3047" s="118"/>
      <c r="L3047" s="118"/>
      <c r="M3047" s="126"/>
      <c r="N3047" s="126"/>
      <c r="O3047" s="126"/>
      <c r="P3047" s="135"/>
      <c r="Q3047" s="135"/>
    </row>
    <row r="3048" spans="11:17" ht="12.75">
      <c r="K3048" s="118"/>
      <c r="L3048" s="118"/>
      <c r="M3048" s="126"/>
      <c r="N3048" s="126"/>
      <c r="O3048" s="126"/>
      <c r="P3048" s="135"/>
      <c r="Q3048" s="135"/>
    </row>
    <row r="3049" spans="11:17" ht="12.75">
      <c r="K3049" s="118"/>
      <c r="L3049" s="118"/>
      <c r="M3049" s="126"/>
      <c r="N3049" s="126"/>
      <c r="O3049" s="126"/>
      <c r="P3049" s="135"/>
      <c r="Q3049" s="135"/>
    </row>
    <row r="3050" spans="11:17" ht="12.75">
      <c r="K3050" s="118"/>
      <c r="L3050" s="118"/>
      <c r="M3050" s="126"/>
      <c r="N3050" s="126"/>
      <c r="O3050" s="126"/>
      <c r="P3050" s="135"/>
      <c r="Q3050" s="135"/>
    </row>
    <row r="3051" spans="11:17" ht="12.75">
      <c r="K3051" s="118"/>
      <c r="L3051" s="118"/>
      <c r="M3051" s="126"/>
      <c r="N3051" s="126"/>
      <c r="O3051" s="126"/>
      <c r="P3051" s="135"/>
      <c r="Q3051" s="135"/>
    </row>
    <row r="3052" spans="11:17" ht="12.75">
      <c r="K3052" s="118"/>
      <c r="L3052" s="118"/>
      <c r="M3052" s="126"/>
      <c r="N3052" s="126"/>
      <c r="O3052" s="126"/>
      <c r="P3052" s="135"/>
      <c r="Q3052" s="135"/>
    </row>
    <row r="3053" spans="11:17" ht="12.75">
      <c r="K3053" s="118"/>
      <c r="L3053" s="118"/>
      <c r="M3053" s="126"/>
      <c r="N3053" s="126"/>
      <c r="O3053" s="126"/>
      <c r="P3053" s="135"/>
      <c r="Q3053" s="135"/>
    </row>
    <row r="3054" spans="11:17" ht="12.75">
      <c r="K3054" s="118"/>
      <c r="L3054" s="118"/>
      <c r="M3054" s="126"/>
      <c r="N3054" s="126"/>
      <c r="O3054" s="126"/>
      <c r="P3054" s="135"/>
      <c r="Q3054" s="135"/>
    </row>
    <row r="3055" spans="11:17" ht="12.75">
      <c r="K3055" s="118"/>
      <c r="L3055" s="118"/>
      <c r="M3055" s="126"/>
      <c r="N3055" s="126"/>
      <c r="O3055" s="126"/>
      <c r="P3055" s="135"/>
      <c r="Q3055" s="135"/>
    </row>
    <row r="3056" spans="11:17" ht="12.75">
      <c r="K3056" s="118"/>
      <c r="L3056" s="118"/>
      <c r="M3056" s="126"/>
      <c r="N3056" s="126"/>
      <c r="O3056" s="126"/>
      <c r="P3056" s="135"/>
      <c r="Q3056" s="135"/>
    </row>
    <row r="3057" spans="11:17" ht="12.75">
      <c r="K3057" s="118"/>
      <c r="L3057" s="118"/>
      <c r="M3057" s="126"/>
      <c r="N3057" s="126"/>
      <c r="O3057" s="126"/>
      <c r="P3057" s="135"/>
      <c r="Q3057" s="135"/>
    </row>
    <row r="3058" spans="11:17" ht="12.75">
      <c r="K3058" s="118"/>
      <c r="L3058" s="118"/>
      <c r="M3058" s="126"/>
      <c r="N3058" s="126"/>
      <c r="O3058" s="126"/>
      <c r="P3058" s="135"/>
      <c r="Q3058" s="135"/>
    </row>
    <row r="3059" spans="11:17" ht="12.75">
      <c r="K3059" s="118"/>
      <c r="L3059" s="118"/>
      <c r="M3059" s="126"/>
      <c r="N3059" s="126"/>
      <c r="O3059" s="126"/>
      <c r="P3059" s="135"/>
      <c r="Q3059" s="135"/>
    </row>
    <row r="3060" spans="11:17" ht="12.75">
      <c r="K3060" s="118"/>
      <c r="L3060" s="118"/>
      <c r="M3060" s="126"/>
      <c r="N3060" s="126"/>
      <c r="O3060" s="126"/>
      <c r="P3060" s="135"/>
      <c r="Q3060" s="135"/>
    </row>
    <row r="3061" spans="11:17" ht="12.75">
      <c r="K3061" s="118"/>
      <c r="L3061" s="118"/>
      <c r="M3061" s="126"/>
      <c r="N3061" s="126"/>
      <c r="O3061" s="126"/>
      <c r="P3061" s="135"/>
      <c r="Q3061" s="135"/>
    </row>
    <row r="3062" spans="11:17" ht="12.75">
      <c r="K3062" s="118"/>
      <c r="L3062" s="118"/>
      <c r="M3062" s="126"/>
      <c r="N3062" s="126"/>
      <c r="O3062" s="126"/>
      <c r="P3062" s="135"/>
      <c r="Q3062" s="135"/>
    </row>
    <row r="3063" spans="11:17" ht="12.75">
      <c r="K3063" s="118"/>
      <c r="L3063" s="118"/>
      <c r="M3063" s="126"/>
      <c r="N3063" s="126"/>
      <c r="O3063" s="126"/>
      <c r="P3063" s="135"/>
      <c r="Q3063" s="135"/>
    </row>
    <row r="3064" spans="11:17" ht="12.75">
      <c r="K3064" s="118"/>
      <c r="L3064" s="118"/>
      <c r="M3064" s="126"/>
      <c r="N3064" s="126"/>
      <c r="O3064" s="126"/>
      <c r="P3064" s="135"/>
      <c r="Q3064" s="135"/>
    </row>
    <row r="3065" spans="11:17" ht="12.75">
      <c r="K3065" s="118"/>
      <c r="L3065" s="118"/>
      <c r="M3065" s="126"/>
      <c r="N3065" s="126"/>
      <c r="O3065" s="126"/>
      <c r="P3065" s="135"/>
      <c r="Q3065" s="135"/>
    </row>
    <row r="3066" spans="11:17" ht="12.75">
      <c r="K3066" s="118"/>
      <c r="L3066" s="118"/>
      <c r="M3066" s="126"/>
      <c r="N3066" s="126"/>
      <c r="O3066" s="126"/>
      <c r="P3066" s="135"/>
      <c r="Q3066" s="135"/>
    </row>
    <row r="3067" spans="11:17" ht="12.75">
      <c r="K3067" s="118"/>
      <c r="L3067" s="118"/>
      <c r="M3067" s="126"/>
      <c r="N3067" s="126"/>
      <c r="O3067" s="126"/>
      <c r="P3067" s="135"/>
      <c r="Q3067" s="135"/>
    </row>
    <row r="3068" spans="11:17" ht="12.75">
      <c r="K3068" s="118"/>
      <c r="L3068" s="118"/>
      <c r="M3068" s="126"/>
      <c r="N3068" s="126"/>
      <c r="O3068" s="126"/>
      <c r="P3068" s="135"/>
      <c r="Q3068" s="135"/>
    </row>
    <row r="3069" spans="11:17" ht="12.75">
      <c r="K3069" s="118"/>
      <c r="L3069" s="118"/>
      <c r="M3069" s="126"/>
      <c r="N3069" s="126"/>
      <c r="O3069" s="126"/>
      <c r="P3069" s="135"/>
      <c r="Q3069" s="135"/>
    </row>
    <row r="3070" spans="11:17" ht="12.75">
      <c r="K3070" s="118"/>
      <c r="L3070" s="118"/>
      <c r="M3070" s="126"/>
      <c r="N3070" s="126"/>
      <c r="O3070" s="126"/>
      <c r="P3070" s="135"/>
      <c r="Q3070" s="135"/>
    </row>
    <row r="3071" spans="11:17" ht="12.75">
      <c r="K3071" s="118"/>
      <c r="L3071" s="118"/>
      <c r="M3071" s="126"/>
      <c r="N3071" s="126"/>
      <c r="O3071" s="126"/>
      <c r="P3071" s="135"/>
      <c r="Q3071" s="135"/>
    </row>
    <row r="3072" spans="11:17" ht="12.75">
      <c r="K3072" s="118"/>
      <c r="L3072" s="118"/>
      <c r="M3072" s="126"/>
      <c r="N3072" s="126"/>
      <c r="O3072" s="126"/>
      <c r="P3072" s="135"/>
      <c r="Q3072" s="135"/>
    </row>
    <row r="3073" spans="11:17" ht="12.75">
      <c r="K3073" s="118"/>
      <c r="L3073" s="118"/>
      <c r="M3073" s="126"/>
      <c r="N3073" s="126"/>
      <c r="O3073" s="126"/>
      <c r="P3073" s="135"/>
      <c r="Q3073" s="135"/>
    </row>
    <row r="3074" spans="11:17" ht="12.75">
      <c r="K3074" s="118"/>
      <c r="L3074" s="118"/>
      <c r="M3074" s="126"/>
      <c r="N3074" s="126"/>
      <c r="O3074" s="126"/>
      <c r="P3074" s="135"/>
      <c r="Q3074" s="135"/>
    </row>
    <row r="3075" spans="11:17" ht="12.75">
      <c r="K3075" s="118"/>
      <c r="L3075" s="118"/>
      <c r="M3075" s="126"/>
      <c r="N3075" s="126"/>
      <c r="O3075" s="126"/>
      <c r="P3075" s="135"/>
      <c r="Q3075" s="135"/>
    </row>
    <row r="3076" spans="11:17" ht="12.75">
      <c r="K3076" s="118"/>
      <c r="L3076" s="118"/>
      <c r="M3076" s="126"/>
      <c r="N3076" s="126"/>
      <c r="O3076" s="126"/>
      <c r="P3076" s="135"/>
      <c r="Q3076" s="135"/>
    </row>
    <row r="3077" spans="11:17" ht="12.75">
      <c r="K3077" s="118"/>
      <c r="L3077" s="118"/>
      <c r="M3077" s="126"/>
      <c r="N3077" s="126"/>
      <c r="O3077" s="126"/>
      <c r="P3077" s="135"/>
      <c r="Q3077" s="135"/>
    </row>
    <row r="3078" spans="11:17" ht="12.75">
      <c r="K3078" s="118"/>
      <c r="L3078" s="118"/>
      <c r="M3078" s="126"/>
      <c r="N3078" s="126"/>
      <c r="O3078" s="126"/>
      <c r="P3078" s="135"/>
      <c r="Q3078" s="135"/>
    </row>
    <row r="3079" spans="11:17" ht="12.75">
      <c r="K3079" s="118"/>
      <c r="L3079" s="118"/>
      <c r="M3079" s="126"/>
      <c r="N3079" s="126"/>
      <c r="O3079" s="126"/>
      <c r="P3079" s="135"/>
      <c r="Q3079" s="135"/>
    </row>
    <row r="3080" spans="11:17" ht="12.75">
      <c r="K3080" s="118"/>
      <c r="L3080" s="118"/>
      <c r="M3080" s="126"/>
      <c r="N3080" s="126"/>
      <c r="O3080" s="126"/>
      <c r="P3080" s="135"/>
      <c r="Q3080" s="135"/>
    </row>
    <row r="3081" spans="11:17" ht="12.75">
      <c r="K3081" s="118"/>
      <c r="L3081" s="118"/>
      <c r="M3081" s="126"/>
      <c r="N3081" s="126"/>
      <c r="O3081" s="126"/>
      <c r="P3081" s="135"/>
      <c r="Q3081" s="135"/>
    </row>
    <row r="3082" spans="11:17" ht="12.75">
      <c r="K3082" s="118"/>
      <c r="L3082" s="118"/>
      <c r="M3082" s="126"/>
      <c r="N3082" s="126"/>
      <c r="O3082" s="126"/>
      <c r="P3082" s="135"/>
      <c r="Q3082" s="135"/>
    </row>
    <row r="3083" spans="11:17" ht="12.75">
      <c r="K3083" s="118"/>
      <c r="L3083" s="118"/>
      <c r="M3083" s="126"/>
      <c r="N3083" s="126"/>
      <c r="O3083" s="126"/>
      <c r="P3083" s="135"/>
      <c r="Q3083" s="135"/>
    </row>
    <row r="3084" spans="11:17" ht="12.75">
      <c r="K3084" s="118"/>
      <c r="L3084" s="118"/>
      <c r="M3084" s="126"/>
      <c r="N3084" s="126"/>
      <c r="O3084" s="126"/>
      <c r="P3084" s="135"/>
      <c r="Q3084" s="135"/>
    </row>
    <row r="3085" spans="11:17" ht="12.75">
      <c r="K3085" s="118"/>
      <c r="L3085" s="118"/>
      <c r="M3085" s="126"/>
      <c r="N3085" s="126"/>
      <c r="O3085" s="126"/>
      <c r="P3085" s="135"/>
      <c r="Q3085" s="135"/>
    </row>
    <row r="3086" spans="11:17" ht="12.75">
      <c r="K3086" s="118"/>
      <c r="L3086" s="118"/>
      <c r="M3086" s="126"/>
      <c r="N3086" s="126"/>
      <c r="O3086" s="126"/>
      <c r="P3086" s="135"/>
      <c r="Q3086" s="135"/>
    </row>
    <row r="3087" spans="11:17" ht="12.75">
      <c r="K3087" s="118"/>
      <c r="L3087" s="118"/>
      <c r="M3087" s="126"/>
      <c r="N3087" s="126"/>
      <c r="O3087" s="126"/>
      <c r="P3087" s="135"/>
      <c r="Q3087" s="135"/>
    </row>
    <row r="3088" spans="11:17" ht="12.75">
      <c r="K3088" s="118"/>
      <c r="L3088" s="118"/>
      <c r="M3088" s="126"/>
      <c r="N3088" s="126"/>
      <c r="O3088" s="126"/>
      <c r="P3088" s="135"/>
      <c r="Q3088" s="135"/>
    </row>
    <row r="3089" spans="11:17" ht="12.75">
      <c r="K3089" s="118"/>
      <c r="L3089" s="118"/>
      <c r="M3089" s="126"/>
      <c r="N3089" s="126"/>
      <c r="O3089" s="126"/>
      <c r="P3089" s="135"/>
      <c r="Q3089" s="135"/>
    </row>
    <row r="3090" spans="11:17" ht="12.75">
      <c r="K3090" s="118"/>
      <c r="L3090" s="118"/>
      <c r="M3090" s="126"/>
      <c r="N3090" s="126"/>
      <c r="O3090" s="126"/>
      <c r="P3090" s="135"/>
      <c r="Q3090" s="135"/>
    </row>
    <row r="3091" spans="11:17" ht="12.75">
      <c r="K3091" s="118"/>
      <c r="L3091" s="118"/>
      <c r="M3091" s="126"/>
      <c r="N3091" s="126"/>
      <c r="O3091" s="126"/>
      <c r="P3091" s="135"/>
      <c r="Q3091" s="135"/>
    </row>
    <row r="3092" spans="11:17" ht="12.75">
      <c r="K3092" s="118"/>
      <c r="L3092" s="118"/>
      <c r="M3092" s="126"/>
      <c r="N3092" s="126"/>
      <c r="O3092" s="126"/>
      <c r="P3092" s="135"/>
      <c r="Q3092" s="135"/>
    </row>
    <row r="3093" spans="11:17" ht="12.75">
      <c r="K3093" s="118"/>
      <c r="L3093" s="118"/>
      <c r="M3093" s="126"/>
      <c r="N3093" s="126"/>
      <c r="O3093" s="126"/>
      <c r="P3093" s="135"/>
      <c r="Q3093" s="135"/>
    </row>
    <row r="3094" spans="11:17" ht="12.75">
      <c r="K3094" s="118"/>
      <c r="L3094" s="118"/>
      <c r="M3094" s="126"/>
      <c r="N3094" s="126"/>
      <c r="O3094" s="126"/>
      <c r="P3094" s="135"/>
      <c r="Q3094" s="135"/>
    </row>
    <row r="3095" spans="11:17" ht="12.75">
      <c r="K3095" s="118"/>
      <c r="L3095" s="118"/>
      <c r="M3095" s="126"/>
      <c r="N3095" s="126"/>
      <c r="O3095" s="126"/>
      <c r="P3095" s="135"/>
      <c r="Q3095" s="135"/>
    </row>
    <row r="3096" spans="11:17" ht="12.75">
      <c r="K3096" s="118"/>
      <c r="L3096" s="118"/>
      <c r="M3096" s="126"/>
      <c r="N3096" s="126"/>
      <c r="O3096" s="126"/>
      <c r="P3096" s="135"/>
      <c r="Q3096" s="135"/>
    </row>
    <row r="3097" spans="11:17" ht="12.75">
      <c r="K3097" s="118"/>
      <c r="L3097" s="118"/>
      <c r="M3097" s="126"/>
      <c r="N3097" s="126"/>
      <c r="O3097" s="126"/>
      <c r="P3097" s="135"/>
      <c r="Q3097" s="135"/>
    </row>
    <row r="3098" spans="11:17" ht="12.75">
      <c r="K3098" s="118"/>
      <c r="L3098" s="118"/>
      <c r="M3098" s="126"/>
      <c r="N3098" s="126"/>
      <c r="O3098" s="126"/>
      <c r="P3098" s="135"/>
      <c r="Q3098" s="135"/>
    </row>
    <row r="3099" spans="11:17" ht="12.75">
      <c r="K3099" s="118"/>
      <c r="L3099" s="118"/>
      <c r="M3099" s="126"/>
      <c r="N3099" s="126"/>
      <c r="O3099" s="126"/>
      <c r="P3099" s="135"/>
      <c r="Q3099" s="135"/>
    </row>
    <row r="3100" spans="11:17" ht="12.75">
      <c r="K3100" s="118"/>
      <c r="L3100" s="118"/>
      <c r="M3100" s="126"/>
      <c r="N3100" s="126"/>
      <c r="O3100" s="126"/>
      <c r="P3100" s="135"/>
      <c r="Q3100" s="135"/>
    </row>
    <row r="3101" spans="11:17" ht="12.75">
      <c r="K3101" s="118"/>
      <c r="L3101" s="118"/>
      <c r="M3101" s="126"/>
      <c r="N3101" s="126"/>
      <c r="O3101" s="126"/>
      <c r="P3101" s="135"/>
      <c r="Q3101" s="135"/>
    </row>
    <row r="3102" spans="11:17" ht="12.75">
      <c r="K3102" s="118"/>
      <c r="L3102" s="118"/>
      <c r="M3102" s="126"/>
      <c r="N3102" s="126"/>
      <c r="O3102" s="126"/>
      <c r="P3102" s="135"/>
      <c r="Q3102" s="135"/>
    </row>
    <row r="3103" spans="11:17" ht="12.75">
      <c r="K3103" s="118"/>
      <c r="L3103" s="118"/>
      <c r="M3103" s="126"/>
      <c r="N3103" s="126"/>
      <c r="O3103" s="126"/>
      <c r="P3103" s="135"/>
      <c r="Q3103" s="135"/>
    </row>
    <row r="3104" spans="11:17" ht="12.75">
      <c r="K3104" s="118"/>
      <c r="L3104" s="118"/>
      <c r="M3104" s="126"/>
      <c r="N3104" s="126"/>
      <c r="O3104" s="126"/>
      <c r="P3104" s="135"/>
      <c r="Q3104" s="135"/>
    </row>
    <row r="3105" spans="11:17" ht="12.75">
      <c r="K3105" s="118"/>
      <c r="L3105" s="118"/>
      <c r="M3105" s="126"/>
      <c r="N3105" s="126"/>
      <c r="O3105" s="126"/>
      <c r="P3105" s="135"/>
      <c r="Q3105" s="135"/>
    </row>
    <row r="3106" spans="11:17" ht="12.75">
      <c r="K3106" s="118"/>
      <c r="L3106" s="118"/>
      <c r="M3106" s="126"/>
      <c r="N3106" s="126"/>
      <c r="O3106" s="126"/>
      <c r="P3106" s="135"/>
      <c r="Q3106" s="135"/>
    </row>
    <row r="3107" spans="11:17" ht="12.75">
      <c r="K3107" s="118"/>
      <c r="L3107" s="118"/>
      <c r="M3107" s="126"/>
      <c r="N3107" s="126"/>
      <c r="O3107" s="126"/>
      <c r="P3107" s="135"/>
      <c r="Q3107" s="135"/>
    </row>
    <row r="3108" spans="11:17" ht="12.75">
      <c r="K3108" s="118"/>
      <c r="L3108" s="118"/>
      <c r="M3108" s="126"/>
      <c r="N3108" s="126"/>
      <c r="O3108" s="126"/>
      <c r="P3108" s="135"/>
      <c r="Q3108" s="135"/>
    </row>
    <row r="3109" spans="11:17" ht="12.75">
      <c r="K3109" s="118"/>
      <c r="L3109" s="118"/>
      <c r="M3109" s="126"/>
      <c r="N3109" s="126"/>
      <c r="O3109" s="126"/>
      <c r="P3109" s="135"/>
      <c r="Q3109" s="135"/>
    </row>
    <row r="3110" spans="11:17" ht="12.75">
      <c r="K3110" s="118"/>
      <c r="L3110" s="118"/>
      <c r="M3110" s="126"/>
      <c r="N3110" s="126"/>
      <c r="O3110" s="126"/>
      <c r="P3110" s="135"/>
      <c r="Q3110" s="135"/>
    </row>
    <row r="3111" spans="11:17" ht="12.75">
      <c r="K3111" s="118"/>
      <c r="L3111" s="118"/>
      <c r="M3111" s="126"/>
      <c r="N3111" s="126"/>
      <c r="O3111" s="126"/>
      <c r="P3111" s="135"/>
      <c r="Q3111" s="135"/>
    </row>
    <row r="3112" spans="11:17" ht="12.75">
      <c r="K3112" s="118"/>
      <c r="L3112" s="118"/>
      <c r="M3112" s="126"/>
      <c r="N3112" s="126"/>
      <c r="O3112" s="126"/>
      <c r="P3112" s="135"/>
      <c r="Q3112" s="135"/>
    </row>
    <row r="3113" spans="11:17" ht="12.75">
      <c r="K3113" s="118"/>
      <c r="L3113" s="118"/>
      <c r="M3113" s="126"/>
      <c r="N3113" s="126"/>
      <c r="O3113" s="126"/>
      <c r="P3113" s="135"/>
      <c r="Q3113" s="135"/>
    </row>
    <row r="3114" spans="11:17" ht="12.75">
      <c r="K3114" s="118"/>
      <c r="L3114" s="118"/>
      <c r="M3114" s="126"/>
      <c r="N3114" s="126"/>
      <c r="O3114" s="126"/>
      <c r="P3114" s="135"/>
      <c r="Q3114" s="135"/>
    </row>
    <row r="3115" spans="11:17" ht="12.75">
      <c r="K3115" s="118"/>
      <c r="L3115" s="118"/>
      <c r="M3115" s="126"/>
      <c r="N3115" s="126"/>
      <c r="O3115" s="126"/>
      <c r="P3115" s="135"/>
      <c r="Q3115" s="135"/>
    </row>
    <row r="3116" spans="11:17" ht="12.75">
      <c r="K3116" s="118"/>
      <c r="L3116" s="118"/>
      <c r="M3116" s="126"/>
      <c r="N3116" s="126"/>
      <c r="O3116" s="126"/>
      <c r="P3116" s="135"/>
      <c r="Q3116" s="135"/>
    </row>
    <row r="3117" spans="11:17" ht="12.75">
      <c r="K3117" s="118"/>
      <c r="L3117" s="118"/>
      <c r="M3117" s="126"/>
      <c r="N3117" s="126"/>
      <c r="O3117" s="126"/>
      <c r="P3117" s="135"/>
      <c r="Q3117" s="135"/>
    </row>
    <row r="3118" spans="11:17" ht="12.75">
      <c r="K3118" s="118"/>
      <c r="L3118" s="118"/>
      <c r="M3118" s="126"/>
      <c r="N3118" s="126"/>
      <c r="O3118" s="126"/>
      <c r="P3118" s="135"/>
      <c r="Q3118" s="135"/>
    </row>
    <row r="3119" spans="11:17" ht="12.75">
      <c r="K3119" s="118"/>
      <c r="L3119" s="118"/>
      <c r="M3119" s="126"/>
      <c r="N3119" s="126"/>
      <c r="O3119" s="126"/>
      <c r="P3119" s="135"/>
      <c r="Q3119" s="135"/>
    </row>
    <row r="3120" spans="11:17" ht="12.75">
      <c r="K3120" s="118"/>
      <c r="L3120" s="118"/>
      <c r="M3120" s="126"/>
      <c r="N3120" s="126"/>
      <c r="O3120" s="126"/>
      <c r="P3120" s="135"/>
      <c r="Q3120" s="135"/>
    </row>
    <row r="3121" spans="11:17" ht="12.75">
      <c r="K3121" s="118"/>
      <c r="L3121" s="118"/>
      <c r="M3121" s="126"/>
      <c r="N3121" s="126"/>
      <c r="O3121" s="126"/>
      <c r="P3121" s="135"/>
      <c r="Q3121" s="135"/>
    </row>
    <row r="3122" spans="11:17" ht="12.75">
      <c r="K3122" s="118"/>
      <c r="L3122" s="118"/>
      <c r="M3122" s="126"/>
      <c r="N3122" s="126"/>
      <c r="O3122" s="126"/>
      <c r="P3122" s="135"/>
      <c r="Q3122" s="135"/>
    </row>
    <row r="3123" spans="11:17" ht="12.75">
      <c r="K3123" s="118"/>
      <c r="L3123" s="118"/>
      <c r="M3123" s="126"/>
      <c r="N3123" s="126"/>
      <c r="O3123" s="126"/>
      <c r="P3123" s="135"/>
      <c r="Q3123" s="135"/>
    </row>
    <row r="3124" spans="11:17" ht="12.75">
      <c r="K3124" s="118"/>
      <c r="L3124" s="118"/>
      <c r="M3124" s="126"/>
      <c r="N3124" s="126"/>
      <c r="O3124" s="126"/>
      <c r="P3124" s="135"/>
      <c r="Q3124" s="135"/>
    </row>
    <row r="3125" spans="11:17" ht="12.75">
      <c r="K3125" s="118"/>
      <c r="L3125" s="118"/>
      <c r="M3125" s="126"/>
      <c r="N3125" s="126"/>
      <c r="O3125" s="126"/>
      <c r="P3125" s="135"/>
      <c r="Q3125" s="135"/>
    </row>
    <row r="3126" spans="11:17" ht="12.75">
      <c r="K3126" s="118"/>
      <c r="L3126" s="118"/>
      <c r="M3126" s="126"/>
      <c r="N3126" s="126"/>
      <c r="O3126" s="126"/>
      <c r="P3126" s="135"/>
      <c r="Q3126" s="135"/>
    </row>
    <row r="3127" spans="11:17" ht="12.75">
      <c r="K3127" s="118"/>
      <c r="L3127" s="118"/>
      <c r="M3127" s="126"/>
      <c r="N3127" s="126"/>
      <c r="O3127" s="126"/>
      <c r="P3127" s="135"/>
      <c r="Q3127" s="135"/>
    </row>
    <row r="3128" spans="11:17" ht="12.75">
      <c r="K3128" s="118"/>
      <c r="L3128" s="118"/>
      <c r="M3128" s="126"/>
      <c r="N3128" s="126"/>
      <c r="O3128" s="126"/>
      <c r="P3128" s="135"/>
      <c r="Q3128" s="135"/>
    </row>
    <row r="3129" spans="11:17" ht="12.75">
      <c r="K3129" s="118"/>
      <c r="L3129" s="118"/>
      <c r="M3129" s="126"/>
      <c r="N3129" s="126"/>
      <c r="O3129" s="126"/>
      <c r="P3129" s="135"/>
      <c r="Q3129" s="135"/>
    </row>
    <row r="3130" spans="11:17" ht="12.75">
      <c r="K3130" s="118"/>
      <c r="L3130" s="118"/>
      <c r="M3130" s="126"/>
      <c r="N3130" s="126"/>
      <c r="O3130" s="126"/>
      <c r="P3130" s="135"/>
      <c r="Q3130" s="135"/>
    </row>
    <row r="3131" spans="11:17" ht="12.75">
      <c r="K3131" s="118"/>
      <c r="L3131" s="118"/>
      <c r="M3131" s="126"/>
      <c r="N3131" s="126"/>
      <c r="O3131" s="126"/>
      <c r="P3131" s="135"/>
      <c r="Q3131" s="135"/>
    </row>
    <row r="3132" spans="11:17" ht="12.75">
      <c r="K3132" s="118"/>
      <c r="L3132" s="118"/>
      <c r="M3132" s="126"/>
      <c r="N3132" s="126"/>
      <c r="O3132" s="126"/>
      <c r="P3132" s="135"/>
      <c r="Q3132" s="135"/>
    </row>
    <row r="3133" spans="11:17" ht="12.75">
      <c r="K3133" s="118"/>
      <c r="L3133" s="118"/>
      <c r="M3133" s="126"/>
      <c r="N3133" s="126"/>
      <c r="O3133" s="126"/>
      <c r="P3133" s="135"/>
      <c r="Q3133" s="135"/>
    </row>
    <row r="3134" spans="11:17" ht="12.75">
      <c r="K3134" s="118"/>
      <c r="L3134" s="118"/>
      <c r="M3134" s="126"/>
      <c r="N3134" s="126"/>
      <c r="O3134" s="126"/>
      <c r="P3134" s="135"/>
      <c r="Q3134" s="135"/>
    </row>
    <row r="3135" spans="11:17" ht="12.75">
      <c r="K3135" s="118"/>
      <c r="L3135" s="118"/>
      <c r="M3135" s="126"/>
      <c r="N3135" s="126"/>
      <c r="O3135" s="126"/>
      <c r="P3135" s="135"/>
      <c r="Q3135" s="135"/>
    </row>
    <row r="3136" spans="11:17" ht="12.75">
      <c r="K3136" s="118"/>
      <c r="L3136" s="118"/>
      <c r="M3136" s="126"/>
      <c r="N3136" s="126"/>
      <c r="O3136" s="126"/>
      <c r="P3136" s="135"/>
      <c r="Q3136" s="135"/>
    </row>
    <row r="3137" spans="11:17" ht="12.75">
      <c r="K3137" s="118"/>
      <c r="L3137" s="118"/>
      <c r="M3137" s="126"/>
      <c r="N3137" s="126"/>
      <c r="O3137" s="126"/>
      <c r="P3137" s="135"/>
      <c r="Q3137" s="135"/>
    </row>
    <row r="3138" spans="11:17" ht="12.75">
      <c r="K3138" s="118"/>
      <c r="L3138" s="118"/>
      <c r="M3138" s="126"/>
      <c r="N3138" s="126"/>
      <c r="O3138" s="126"/>
      <c r="P3138" s="135"/>
      <c r="Q3138" s="135"/>
    </row>
    <row r="3139" spans="11:17" ht="12.75">
      <c r="K3139" s="118"/>
      <c r="L3139" s="118"/>
      <c r="M3139" s="126"/>
      <c r="N3139" s="126"/>
      <c r="O3139" s="126"/>
      <c r="P3139" s="135"/>
      <c r="Q3139" s="135"/>
    </row>
    <row r="3140" spans="11:17" ht="12.75">
      <c r="K3140" s="118"/>
      <c r="L3140" s="118"/>
      <c r="M3140" s="126"/>
      <c r="N3140" s="126"/>
      <c r="O3140" s="126"/>
      <c r="P3140" s="135"/>
      <c r="Q3140" s="135"/>
    </row>
    <row r="3141" spans="11:17" ht="12.75">
      <c r="K3141" s="118"/>
      <c r="L3141" s="118"/>
      <c r="M3141" s="126"/>
      <c r="N3141" s="126"/>
      <c r="O3141" s="126"/>
      <c r="P3141" s="135"/>
      <c r="Q3141" s="135"/>
    </row>
    <row r="3142" spans="11:17" ht="12.75">
      <c r="K3142" s="118"/>
      <c r="L3142" s="118"/>
      <c r="M3142" s="126"/>
      <c r="N3142" s="126"/>
      <c r="O3142" s="126"/>
      <c r="P3142" s="135"/>
      <c r="Q3142" s="135"/>
    </row>
    <row r="3143" spans="11:17" ht="12.75">
      <c r="K3143" s="118"/>
      <c r="L3143" s="118"/>
      <c r="M3143" s="126"/>
      <c r="N3143" s="126"/>
      <c r="O3143" s="126"/>
      <c r="P3143" s="135"/>
      <c r="Q3143" s="135"/>
    </row>
    <row r="3144" spans="11:17" ht="12.75">
      <c r="K3144" s="118"/>
      <c r="L3144" s="118"/>
      <c r="M3144" s="126"/>
      <c r="N3144" s="126"/>
      <c r="O3144" s="126"/>
      <c r="P3144" s="135"/>
      <c r="Q3144" s="135"/>
    </row>
    <row r="3145" spans="11:17" ht="12.75">
      <c r="K3145" s="118"/>
      <c r="L3145" s="118"/>
      <c r="M3145" s="126"/>
      <c r="N3145" s="126"/>
      <c r="O3145" s="126"/>
      <c r="P3145" s="135"/>
      <c r="Q3145" s="135"/>
    </row>
    <row r="3146" spans="11:17" ht="12.75">
      <c r="K3146" s="118"/>
      <c r="L3146" s="118"/>
      <c r="M3146" s="126"/>
      <c r="N3146" s="126"/>
      <c r="O3146" s="126"/>
      <c r="P3146" s="135"/>
      <c r="Q3146" s="135"/>
    </row>
    <row r="3147" spans="11:17" ht="12.75">
      <c r="K3147" s="118"/>
      <c r="L3147" s="118"/>
      <c r="M3147" s="126"/>
      <c r="N3147" s="126"/>
      <c r="O3147" s="126"/>
      <c r="P3147" s="135"/>
      <c r="Q3147" s="135"/>
    </row>
    <row r="3148" spans="11:17" ht="12.75">
      <c r="K3148" s="118"/>
      <c r="L3148" s="118"/>
      <c r="M3148" s="126"/>
      <c r="N3148" s="126"/>
      <c r="O3148" s="126"/>
      <c r="P3148" s="135"/>
      <c r="Q3148" s="135"/>
    </row>
    <row r="3149" spans="11:17" ht="12.75">
      <c r="K3149" s="118"/>
      <c r="L3149" s="118"/>
      <c r="M3149" s="126"/>
      <c r="N3149" s="126"/>
      <c r="O3149" s="126"/>
      <c r="P3149" s="135"/>
      <c r="Q3149" s="135"/>
    </row>
    <row r="3150" spans="11:17" ht="12.75">
      <c r="K3150" s="118"/>
      <c r="L3150" s="118"/>
      <c r="M3150" s="126"/>
      <c r="N3150" s="126"/>
      <c r="O3150" s="126"/>
      <c r="P3150" s="135"/>
      <c r="Q3150" s="135"/>
    </row>
    <row r="3151" spans="11:17" ht="12.75">
      <c r="K3151" s="118"/>
      <c r="L3151" s="118"/>
      <c r="M3151" s="126"/>
      <c r="N3151" s="126"/>
      <c r="O3151" s="126"/>
      <c r="P3151" s="135"/>
      <c r="Q3151" s="135"/>
    </row>
    <row r="3152" spans="11:17" ht="12.75">
      <c r="K3152" s="118"/>
      <c r="L3152" s="118"/>
      <c r="M3152" s="126"/>
      <c r="N3152" s="126"/>
      <c r="O3152" s="126"/>
      <c r="P3152" s="135"/>
      <c r="Q3152" s="135"/>
    </row>
    <row r="3153" spans="11:17" ht="12.75">
      <c r="K3153" s="118"/>
      <c r="L3153" s="118"/>
      <c r="M3153" s="126"/>
      <c r="N3153" s="126"/>
      <c r="O3153" s="126"/>
      <c r="P3153" s="135"/>
      <c r="Q3153" s="135"/>
    </row>
    <row r="3154" spans="11:17" ht="12.75">
      <c r="K3154" s="118"/>
      <c r="L3154" s="118"/>
      <c r="M3154" s="126"/>
      <c r="N3154" s="126"/>
      <c r="O3154" s="126"/>
      <c r="P3154" s="135"/>
      <c r="Q3154" s="135"/>
    </row>
    <row r="3155" spans="11:17" ht="12.75">
      <c r="K3155" s="118"/>
      <c r="L3155" s="118"/>
      <c r="M3155" s="126"/>
      <c r="N3155" s="126"/>
      <c r="O3155" s="126"/>
      <c r="P3155" s="135"/>
      <c r="Q3155" s="135"/>
    </row>
    <row r="3156" spans="11:17" ht="12.75">
      <c r="K3156" s="118"/>
      <c r="L3156" s="118"/>
      <c r="M3156" s="126"/>
      <c r="N3156" s="126"/>
      <c r="O3156" s="126"/>
      <c r="P3156" s="135"/>
      <c r="Q3156" s="135"/>
    </row>
    <row r="3157" spans="11:17" ht="12.75">
      <c r="K3157" s="118"/>
      <c r="L3157" s="118"/>
      <c r="M3157" s="126"/>
      <c r="N3157" s="126"/>
      <c r="O3157" s="126"/>
      <c r="P3157" s="135"/>
      <c r="Q3157" s="135"/>
    </row>
    <row r="3158" spans="11:17" ht="12.75">
      <c r="K3158" s="118"/>
      <c r="L3158" s="118"/>
      <c r="M3158" s="126"/>
      <c r="N3158" s="126"/>
      <c r="O3158" s="126"/>
      <c r="P3158" s="135"/>
      <c r="Q3158" s="135"/>
    </row>
    <row r="3159" spans="11:17" ht="12.75">
      <c r="K3159" s="118"/>
      <c r="L3159" s="118"/>
      <c r="M3159" s="126"/>
      <c r="N3159" s="126"/>
      <c r="O3159" s="126"/>
      <c r="P3159" s="135"/>
      <c r="Q3159" s="135"/>
    </row>
    <row r="3160" spans="11:17" ht="12.75">
      <c r="K3160" s="118"/>
      <c r="L3160" s="118"/>
      <c r="M3160" s="126"/>
      <c r="N3160" s="126"/>
      <c r="O3160" s="126"/>
      <c r="P3160" s="135"/>
      <c r="Q3160" s="135"/>
    </row>
    <row r="3161" spans="11:17" ht="12.75">
      <c r="K3161" s="118"/>
      <c r="L3161" s="118"/>
      <c r="M3161" s="126"/>
      <c r="N3161" s="126"/>
      <c r="O3161" s="126"/>
      <c r="P3161" s="135"/>
      <c r="Q3161" s="135"/>
    </row>
    <row r="3162" spans="11:17" ht="12.75">
      <c r="K3162" s="118"/>
      <c r="L3162" s="118"/>
      <c r="M3162" s="126"/>
      <c r="N3162" s="126"/>
      <c r="O3162" s="126"/>
      <c r="P3162" s="135"/>
      <c r="Q3162" s="135"/>
    </row>
    <row r="3163" spans="11:17" ht="12.75">
      <c r="K3163" s="118"/>
      <c r="L3163" s="118"/>
      <c r="M3163" s="126"/>
      <c r="N3163" s="126"/>
      <c r="O3163" s="126"/>
      <c r="P3163" s="135"/>
      <c r="Q3163" s="135"/>
    </row>
    <row r="3164" spans="11:17" ht="12.75">
      <c r="K3164" s="118"/>
      <c r="L3164" s="118"/>
      <c r="M3164" s="126"/>
      <c r="N3164" s="126"/>
      <c r="O3164" s="126"/>
      <c r="P3164" s="135"/>
      <c r="Q3164" s="135"/>
    </row>
    <row r="3165" spans="11:17" ht="12.75">
      <c r="K3165" s="118"/>
      <c r="L3165" s="118"/>
      <c r="M3165" s="126"/>
      <c r="N3165" s="126"/>
      <c r="O3165" s="126"/>
      <c r="P3165" s="135"/>
      <c r="Q3165" s="135"/>
    </row>
    <row r="3166" spans="11:17" ht="12.75">
      <c r="K3166" s="118"/>
      <c r="L3166" s="118"/>
      <c r="M3166" s="126"/>
      <c r="N3166" s="126"/>
      <c r="O3166" s="126"/>
      <c r="P3166" s="135"/>
      <c r="Q3166" s="135"/>
    </row>
    <row r="3167" spans="11:17" ht="12.75">
      <c r="K3167" s="118"/>
      <c r="L3167" s="118"/>
      <c r="M3167" s="126"/>
      <c r="N3167" s="126"/>
      <c r="O3167" s="126"/>
      <c r="P3167" s="135"/>
      <c r="Q3167" s="135"/>
    </row>
    <row r="3168" spans="11:17" ht="12.75">
      <c r="K3168" s="118"/>
      <c r="L3168" s="118"/>
      <c r="M3168" s="126"/>
      <c r="N3168" s="126"/>
      <c r="O3168" s="126"/>
      <c r="P3168" s="135"/>
      <c r="Q3168" s="135"/>
    </row>
    <row r="3169" spans="11:17" ht="12.75">
      <c r="K3169" s="118"/>
      <c r="L3169" s="118"/>
      <c r="M3169" s="126"/>
      <c r="N3169" s="126"/>
      <c r="O3169" s="126"/>
      <c r="P3169" s="135"/>
      <c r="Q3169" s="135"/>
    </row>
    <row r="3170" spans="11:17" ht="12.75">
      <c r="K3170" s="118"/>
      <c r="L3170" s="118"/>
      <c r="M3170" s="126"/>
      <c r="N3170" s="126"/>
      <c r="O3170" s="126"/>
      <c r="P3170" s="135"/>
      <c r="Q3170" s="135"/>
    </row>
    <row r="3171" spans="11:17" ht="12.75">
      <c r="K3171" s="118"/>
      <c r="L3171" s="118"/>
      <c r="M3171" s="126"/>
      <c r="N3171" s="126"/>
      <c r="O3171" s="126"/>
      <c r="P3171" s="135"/>
      <c r="Q3171" s="135"/>
    </row>
    <row r="3172" spans="11:17" ht="12.75">
      <c r="K3172" s="118"/>
      <c r="L3172" s="118"/>
      <c r="M3172" s="126"/>
      <c r="N3172" s="126"/>
      <c r="O3172" s="126"/>
      <c r="P3172" s="135"/>
      <c r="Q3172" s="135"/>
    </row>
    <row r="3173" spans="11:17" ht="12.75">
      <c r="K3173" s="118"/>
      <c r="L3173" s="118"/>
      <c r="M3173" s="126"/>
      <c r="N3173" s="126"/>
      <c r="O3173" s="126"/>
      <c r="P3173" s="135"/>
      <c r="Q3173" s="135"/>
    </row>
    <row r="3174" spans="11:17" ht="12.75">
      <c r="K3174" s="118"/>
      <c r="L3174" s="118"/>
      <c r="M3174" s="126"/>
      <c r="N3174" s="126"/>
      <c r="O3174" s="126"/>
      <c r="P3174" s="135"/>
      <c r="Q3174" s="135"/>
    </row>
    <row r="3175" spans="11:17" ht="12.75">
      <c r="K3175" s="118"/>
      <c r="L3175" s="118"/>
      <c r="M3175" s="126"/>
      <c r="N3175" s="126"/>
      <c r="O3175" s="126"/>
      <c r="P3175" s="135"/>
      <c r="Q3175" s="135"/>
    </row>
    <row r="3176" spans="11:17" ht="12.75">
      <c r="K3176" s="118"/>
      <c r="L3176" s="118"/>
      <c r="M3176" s="126"/>
      <c r="N3176" s="126"/>
      <c r="O3176" s="126"/>
      <c r="P3176" s="135"/>
      <c r="Q3176" s="135"/>
    </row>
    <row r="3177" spans="11:17" ht="12.75">
      <c r="K3177" s="118"/>
      <c r="L3177" s="118"/>
      <c r="M3177" s="126"/>
      <c r="N3177" s="126"/>
      <c r="O3177" s="126"/>
      <c r="P3177" s="135"/>
      <c r="Q3177" s="135"/>
    </row>
    <row r="3178" spans="11:17" ht="12.75">
      <c r="K3178" s="118"/>
      <c r="L3178" s="118"/>
      <c r="M3178" s="126"/>
      <c r="N3178" s="126"/>
      <c r="O3178" s="126"/>
      <c r="P3178" s="135"/>
      <c r="Q3178" s="135"/>
    </row>
    <row r="3179" spans="11:17" ht="12.75">
      <c r="K3179" s="118"/>
      <c r="L3179" s="118"/>
      <c r="M3179" s="126"/>
      <c r="N3179" s="126"/>
      <c r="O3179" s="126"/>
      <c r="P3179" s="135"/>
      <c r="Q3179" s="135"/>
    </row>
    <row r="3180" spans="11:17" ht="12.75">
      <c r="K3180" s="118"/>
      <c r="L3180" s="118"/>
      <c r="M3180" s="126"/>
      <c r="N3180" s="126"/>
      <c r="O3180" s="126"/>
      <c r="P3180" s="135"/>
      <c r="Q3180" s="135"/>
    </row>
    <row r="3181" spans="11:17" ht="12.75">
      <c r="K3181" s="118"/>
      <c r="L3181" s="118"/>
      <c r="M3181" s="126"/>
      <c r="N3181" s="126"/>
      <c r="O3181" s="126"/>
      <c r="P3181" s="135"/>
      <c r="Q3181" s="135"/>
    </row>
    <row r="3182" spans="11:17" ht="12.75">
      <c r="K3182" s="118"/>
      <c r="L3182" s="118"/>
      <c r="M3182" s="126"/>
      <c r="N3182" s="126"/>
      <c r="O3182" s="126"/>
      <c r="P3182" s="135"/>
      <c r="Q3182" s="135"/>
    </row>
    <row r="3183" spans="11:17" ht="12.75">
      <c r="K3183" s="118"/>
      <c r="L3183" s="118"/>
      <c r="M3183" s="126"/>
      <c r="N3183" s="126"/>
      <c r="O3183" s="126"/>
      <c r="P3183" s="135"/>
      <c r="Q3183" s="135"/>
    </row>
    <row r="3184" spans="11:17" ht="12.75">
      <c r="K3184" s="118"/>
      <c r="L3184" s="118"/>
      <c r="M3184" s="126"/>
      <c r="N3184" s="126"/>
      <c r="O3184" s="126"/>
      <c r="P3184" s="135"/>
      <c r="Q3184" s="135"/>
    </row>
    <row r="3185" spans="11:17" ht="12.75">
      <c r="K3185" s="118"/>
      <c r="L3185" s="118"/>
      <c r="M3185" s="126"/>
      <c r="N3185" s="126"/>
      <c r="O3185" s="126"/>
      <c r="P3185" s="135"/>
      <c r="Q3185" s="135"/>
    </row>
    <row r="3186" spans="11:17" ht="12.75">
      <c r="K3186" s="118"/>
      <c r="L3186" s="118"/>
      <c r="M3186" s="126"/>
      <c r="N3186" s="126"/>
      <c r="O3186" s="126"/>
      <c r="P3186" s="135"/>
      <c r="Q3186" s="135"/>
    </row>
    <row r="3187" spans="11:17" ht="12.75">
      <c r="K3187" s="118"/>
      <c r="L3187" s="118"/>
      <c r="M3187" s="126"/>
      <c r="N3187" s="126"/>
      <c r="O3187" s="126"/>
      <c r="P3187" s="135"/>
      <c r="Q3187" s="135"/>
    </row>
    <row r="3188" spans="11:17" ht="12.75">
      <c r="K3188" s="118"/>
      <c r="L3188" s="118"/>
      <c r="M3188" s="126"/>
      <c r="N3188" s="126"/>
      <c r="O3188" s="126"/>
      <c r="P3188" s="135"/>
      <c r="Q3188" s="135"/>
    </row>
    <row r="3189" spans="11:17" ht="12.75">
      <c r="K3189" s="118"/>
      <c r="L3189" s="118"/>
      <c r="M3189" s="126"/>
      <c r="N3189" s="126"/>
      <c r="O3189" s="126"/>
      <c r="P3189" s="135"/>
      <c r="Q3189" s="135"/>
    </row>
    <row r="3190" spans="11:17" ht="12.75">
      <c r="K3190" s="118"/>
      <c r="L3190" s="118"/>
      <c r="M3190" s="126"/>
      <c r="N3190" s="126"/>
      <c r="O3190" s="126"/>
      <c r="P3190" s="135"/>
      <c r="Q3190" s="135"/>
    </row>
    <row r="3191" spans="11:17" ht="12.75">
      <c r="K3191" s="118"/>
      <c r="L3191" s="118"/>
      <c r="M3191" s="126"/>
      <c r="N3191" s="126"/>
      <c r="O3191" s="126"/>
      <c r="P3191" s="135"/>
      <c r="Q3191" s="135"/>
    </row>
    <row r="3192" spans="11:17" ht="12.75">
      <c r="K3192" s="118"/>
      <c r="L3192" s="118"/>
      <c r="M3192" s="126"/>
      <c r="N3192" s="126"/>
      <c r="O3192" s="126"/>
      <c r="P3192" s="135"/>
      <c r="Q3192" s="135"/>
    </row>
    <row r="3193" spans="11:17" ht="12.75">
      <c r="K3193" s="118"/>
      <c r="L3193" s="118"/>
      <c r="M3193" s="126"/>
      <c r="N3193" s="126"/>
      <c r="O3193" s="126"/>
      <c r="P3193" s="135"/>
      <c r="Q3193" s="135"/>
    </row>
    <row r="3194" spans="11:17" ht="12.75">
      <c r="K3194" s="118"/>
      <c r="L3194" s="118"/>
      <c r="M3194" s="126"/>
      <c r="N3194" s="126"/>
      <c r="O3194" s="126"/>
      <c r="P3194" s="135"/>
      <c r="Q3194" s="135"/>
    </row>
    <row r="3195" spans="11:17" ht="12.75">
      <c r="K3195" s="118"/>
      <c r="L3195" s="118"/>
      <c r="M3195" s="126"/>
      <c r="N3195" s="126"/>
      <c r="O3195" s="126"/>
      <c r="P3195" s="135"/>
      <c r="Q3195" s="135"/>
    </row>
    <row r="3196" spans="11:17" ht="12.75">
      <c r="K3196" s="118"/>
      <c r="L3196" s="118"/>
      <c r="M3196" s="126"/>
      <c r="N3196" s="126"/>
      <c r="O3196" s="126"/>
      <c r="P3196" s="135"/>
      <c r="Q3196" s="135"/>
    </row>
    <row r="3197" spans="11:17" ht="12.75">
      <c r="K3197" s="118"/>
      <c r="L3197" s="118"/>
      <c r="M3197" s="126"/>
      <c r="N3197" s="126"/>
      <c r="O3197" s="126"/>
      <c r="P3197" s="135"/>
      <c r="Q3197" s="135"/>
    </row>
    <row r="3198" spans="11:17" ht="12.75">
      <c r="K3198" s="118"/>
      <c r="L3198" s="118"/>
      <c r="M3198" s="126"/>
      <c r="N3198" s="126"/>
      <c r="O3198" s="126"/>
      <c r="P3198" s="135"/>
      <c r="Q3198" s="135"/>
    </row>
    <row r="3199" spans="11:17" ht="12.75">
      <c r="K3199" s="118"/>
      <c r="L3199" s="118"/>
      <c r="M3199" s="126"/>
      <c r="N3199" s="126"/>
      <c r="O3199" s="126"/>
      <c r="P3199" s="135"/>
      <c r="Q3199" s="135"/>
    </row>
    <row r="3200" spans="11:17" ht="12.75">
      <c r="K3200" s="118"/>
      <c r="L3200" s="118"/>
      <c r="M3200" s="126"/>
      <c r="N3200" s="126"/>
      <c r="O3200" s="126"/>
      <c r="P3200" s="135"/>
      <c r="Q3200" s="135"/>
    </row>
    <row r="3201" spans="11:17" ht="12.75">
      <c r="K3201" s="118"/>
      <c r="L3201" s="118"/>
      <c r="M3201" s="126"/>
      <c r="N3201" s="126"/>
      <c r="O3201" s="126"/>
      <c r="P3201" s="135"/>
      <c r="Q3201" s="135"/>
    </row>
    <row r="3202" spans="11:17" ht="12.75">
      <c r="K3202" s="118"/>
      <c r="L3202" s="118"/>
      <c r="M3202" s="126"/>
      <c r="N3202" s="126"/>
      <c r="O3202" s="126"/>
      <c r="P3202" s="135"/>
      <c r="Q3202" s="135"/>
    </row>
    <row r="3203" spans="11:17" ht="12.75">
      <c r="K3203" s="118"/>
      <c r="L3203" s="118"/>
      <c r="M3203" s="126"/>
      <c r="N3203" s="126"/>
      <c r="O3203" s="126"/>
      <c r="P3203" s="135"/>
      <c r="Q3203" s="135"/>
    </row>
    <row r="3204" spans="11:17" ht="12.75">
      <c r="K3204" s="118"/>
      <c r="L3204" s="118"/>
      <c r="M3204" s="126"/>
      <c r="N3204" s="126"/>
      <c r="O3204" s="126"/>
      <c r="P3204" s="135"/>
      <c r="Q3204" s="135"/>
    </row>
    <row r="3205" spans="11:17" ht="12.75">
      <c r="K3205" s="118"/>
      <c r="L3205" s="118"/>
      <c r="M3205" s="126"/>
      <c r="N3205" s="126"/>
      <c r="O3205" s="126"/>
      <c r="P3205" s="135"/>
      <c r="Q3205" s="135"/>
    </row>
    <row r="3206" spans="11:17" ht="12.75">
      <c r="K3206" s="118"/>
      <c r="L3206" s="118"/>
      <c r="M3206" s="126"/>
      <c r="N3206" s="126"/>
      <c r="O3206" s="126"/>
      <c r="P3206" s="135"/>
      <c r="Q3206" s="135"/>
    </row>
    <row r="3207" spans="11:17" ht="12.75">
      <c r="K3207" s="118"/>
      <c r="L3207" s="118"/>
      <c r="M3207" s="126"/>
      <c r="N3207" s="126"/>
      <c r="O3207" s="126"/>
      <c r="P3207" s="135"/>
      <c r="Q3207" s="135"/>
    </row>
    <row r="3208" spans="11:17" ht="12.75">
      <c r="K3208" s="118"/>
      <c r="L3208" s="118"/>
      <c r="M3208" s="126"/>
      <c r="N3208" s="126"/>
      <c r="O3208" s="126"/>
      <c r="P3208" s="135"/>
      <c r="Q3208" s="135"/>
    </row>
    <row r="3209" spans="11:17" ht="12.75">
      <c r="K3209" s="118"/>
      <c r="L3209" s="118"/>
      <c r="M3209" s="126"/>
      <c r="N3209" s="126"/>
      <c r="O3209" s="126"/>
      <c r="P3209" s="135"/>
      <c r="Q3209" s="135"/>
    </row>
    <row r="3210" spans="11:17" ht="12.75">
      <c r="K3210" s="118"/>
      <c r="L3210" s="118"/>
      <c r="M3210" s="126"/>
      <c r="N3210" s="126"/>
      <c r="O3210" s="126"/>
      <c r="P3210" s="135"/>
      <c r="Q3210" s="135"/>
    </row>
    <row r="3211" spans="11:17" ht="12.75">
      <c r="K3211" s="118"/>
      <c r="L3211" s="118"/>
      <c r="M3211" s="126"/>
      <c r="N3211" s="126"/>
      <c r="O3211" s="126"/>
      <c r="P3211" s="135"/>
      <c r="Q3211" s="135"/>
    </row>
    <row r="3212" spans="11:17" ht="12.75">
      <c r="K3212" s="118"/>
      <c r="L3212" s="118"/>
      <c r="M3212" s="126"/>
      <c r="N3212" s="126"/>
      <c r="O3212" s="126"/>
      <c r="P3212" s="135"/>
      <c r="Q3212" s="135"/>
    </row>
    <row r="3213" spans="11:17" ht="12.75">
      <c r="K3213" s="118"/>
      <c r="L3213" s="118"/>
      <c r="M3213" s="126"/>
      <c r="N3213" s="126"/>
      <c r="O3213" s="126"/>
      <c r="P3213" s="135"/>
      <c r="Q3213" s="135"/>
    </row>
    <row r="3214" spans="11:17" ht="12.75">
      <c r="K3214" s="118"/>
      <c r="L3214" s="118"/>
      <c r="M3214" s="126"/>
      <c r="N3214" s="126"/>
      <c r="O3214" s="126"/>
      <c r="P3214" s="135"/>
      <c r="Q3214" s="135"/>
    </row>
    <row r="3215" spans="11:17" ht="12.75">
      <c r="K3215" s="118"/>
      <c r="L3215" s="118"/>
      <c r="M3215" s="126"/>
      <c r="N3215" s="126"/>
      <c r="O3215" s="126"/>
      <c r="P3215" s="135"/>
      <c r="Q3215" s="135"/>
    </row>
    <row r="3216" spans="11:17" ht="12.75">
      <c r="K3216" s="118"/>
      <c r="L3216" s="118"/>
      <c r="M3216" s="126"/>
      <c r="N3216" s="126"/>
      <c r="O3216" s="126"/>
      <c r="P3216" s="135"/>
      <c r="Q3216" s="135"/>
    </row>
    <row r="3217" spans="11:17" ht="12.75">
      <c r="K3217" s="118"/>
      <c r="L3217" s="118"/>
      <c r="M3217" s="126"/>
      <c r="N3217" s="126"/>
      <c r="O3217" s="126"/>
      <c r="P3217" s="135"/>
      <c r="Q3217" s="135"/>
    </row>
    <row r="3218" spans="11:17" ht="12.75">
      <c r="K3218" s="118"/>
      <c r="L3218" s="118"/>
      <c r="M3218" s="126"/>
      <c r="N3218" s="126"/>
      <c r="O3218" s="126"/>
      <c r="P3218" s="135"/>
      <c r="Q3218" s="135"/>
    </row>
    <row r="3219" spans="11:17" ht="12.75">
      <c r="K3219" s="118"/>
      <c r="L3219" s="118"/>
      <c r="M3219" s="126"/>
      <c r="N3219" s="126"/>
      <c r="O3219" s="126"/>
      <c r="P3219" s="135"/>
      <c r="Q3219" s="135"/>
    </row>
    <row r="3220" spans="11:17" ht="12.75">
      <c r="K3220" s="118"/>
      <c r="L3220" s="118"/>
      <c r="M3220" s="126"/>
      <c r="N3220" s="126"/>
      <c r="O3220" s="126"/>
      <c r="P3220" s="135"/>
      <c r="Q3220" s="135"/>
    </row>
    <row r="3221" spans="11:17" ht="12.75">
      <c r="K3221" s="118"/>
      <c r="L3221" s="118"/>
      <c r="M3221" s="126"/>
      <c r="N3221" s="126"/>
      <c r="O3221" s="126"/>
      <c r="P3221" s="135"/>
      <c r="Q3221" s="135"/>
    </row>
    <row r="3222" spans="11:17" ht="12.75">
      <c r="K3222" s="118"/>
      <c r="L3222" s="118"/>
      <c r="M3222" s="126"/>
      <c r="N3222" s="126"/>
      <c r="O3222" s="126"/>
      <c r="P3222" s="135"/>
      <c r="Q3222" s="135"/>
    </row>
    <row r="3223" spans="11:17" ht="12.75">
      <c r="K3223" s="118"/>
      <c r="L3223" s="118"/>
      <c r="M3223" s="126"/>
      <c r="N3223" s="126"/>
      <c r="O3223" s="126"/>
      <c r="P3223" s="135"/>
      <c r="Q3223" s="135"/>
    </row>
    <row r="3224" spans="11:17" ht="12.75">
      <c r="K3224" s="118"/>
      <c r="L3224" s="118"/>
      <c r="M3224" s="126"/>
      <c r="N3224" s="126"/>
      <c r="O3224" s="126"/>
      <c r="P3224" s="135"/>
      <c r="Q3224" s="135"/>
    </row>
    <row r="3225" spans="11:17" ht="12.75">
      <c r="K3225" s="118"/>
      <c r="L3225" s="118"/>
      <c r="M3225" s="126"/>
      <c r="N3225" s="126"/>
      <c r="O3225" s="126"/>
      <c r="P3225" s="135"/>
      <c r="Q3225" s="135"/>
    </row>
    <row r="3226" spans="11:17" ht="12.75">
      <c r="K3226" s="118"/>
      <c r="L3226" s="118"/>
      <c r="M3226" s="126"/>
      <c r="N3226" s="126"/>
      <c r="O3226" s="126"/>
      <c r="P3226" s="135"/>
      <c r="Q3226" s="135"/>
    </row>
    <row r="3227" spans="11:17" ht="12.75">
      <c r="K3227" s="118"/>
      <c r="L3227" s="118"/>
      <c r="M3227" s="126"/>
      <c r="N3227" s="126"/>
      <c r="O3227" s="126"/>
      <c r="P3227" s="135"/>
      <c r="Q3227" s="135"/>
    </row>
    <row r="3228" spans="11:17" ht="12.75">
      <c r="K3228" s="118"/>
      <c r="L3228" s="118"/>
      <c r="M3228" s="126"/>
      <c r="N3228" s="126"/>
      <c r="O3228" s="126"/>
      <c r="P3228" s="135"/>
      <c r="Q3228" s="135"/>
    </row>
    <row r="3229" spans="11:17" ht="12.75">
      <c r="K3229" s="118"/>
      <c r="L3229" s="118"/>
      <c r="M3229" s="126"/>
      <c r="N3229" s="126"/>
      <c r="O3229" s="126"/>
      <c r="P3229" s="135"/>
      <c r="Q3229" s="135"/>
    </row>
    <row r="3230" spans="11:17" ht="12.75">
      <c r="K3230" s="118"/>
      <c r="L3230" s="118"/>
      <c r="M3230" s="126"/>
      <c r="N3230" s="126"/>
      <c r="O3230" s="126"/>
      <c r="P3230" s="135"/>
      <c r="Q3230" s="135"/>
    </row>
    <row r="3231" spans="11:17" ht="12.75">
      <c r="K3231" s="118"/>
      <c r="L3231" s="118"/>
      <c r="M3231" s="126"/>
      <c r="N3231" s="126"/>
      <c r="O3231" s="126"/>
      <c r="P3231" s="135"/>
      <c r="Q3231" s="135"/>
    </row>
    <row r="3232" spans="11:17" ht="12.75">
      <c r="K3232" s="118"/>
      <c r="L3232" s="118"/>
      <c r="M3232" s="126"/>
      <c r="N3232" s="126"/>
      <c r="O3232" s="126"/>
      <c r="P3232" s="135"/>
      <c r="Q3232" s="135"/>
    </row>
    <row r="3233" spans="11:17" ht="12.75">
      <c r="K3233" s="118"/>
      <c r="L3233" s="118"/>
      <c r="M3233" s="126"/>
      <c r="N3233" s="126"/>
      <c r="O3233" s="126"/>
      <c r="P3233" s="135"/>
      <c r="Q3233" s="135"/>
    </row>
    <row r="3234" spans="11:17" ht="12.75">
      <c r="K3234" s="118"/>
      <c r="L3234" s="118"/>
      <c r="M3234" s="126"/>
      <c r="N3234" s="126"/>
      <c r="O3234" s="126"/>
      <c r="P3234" s="135"/>
      <c r="Q3234" s="135"/>
    </row>
    <row r="3235" spans="11:17" ht="12.75">
      <c r="K3235" s="118"/>
      <c r="L3235" s="118"/>
      <c r="M3235" s="126"/>
      <c r="N3235" s="126"/>
      <c r="O3235" s="126"/>
      <c r="P3235" s="135"/>
      <c r="Q3235" s="135"/>
    </row>
    <row r="3236" spans="11:17" ht="12.75">
      <c r="K3236" s="118"/>
      <c r="L3236" s="118"/>
      <c r="M3236" s="126"/>
      <c r="N3236" s="126"/>
      <c r="O3236" s="126"/>
      <c r="P3236" s="135"/>
      <c r="Q3236" s="135"/>
    </row>
    <row r="3237" spans="11:17" ht="12.75">
      <c r="K3237" s="118"/>
      <c r="L3237" s="118"/>
      <c r="M3237" s="126"/>
      <c r="N3237" s="126"/>
      <c r="O3237" s="126"/>
      <c r="P3237" s="135"/>
      <c r="Q3237" s="135"/>
    </row>
    <row r="3238" spans="11:17" ht="12.75">
      <c r="K3238" s="118"/>
      <c r="L3238" s="118"/>
      <c r="M3238" s="126"/>
      <c r="N3238" s="126"/>
      <c r="O3238" s="126"/>
      <c r="P3238" s="135"/>
      <c r="Q3238" s="135"/>
    </row>
    <row r="3239" spans="11:17" ht="12.75">
      <c r="K3239" s="118"/>
      <c r="L3239" s="118"/>
      <c r="M3239" s="126"/>
      <c r="N3239" s="126"/>
      <c r="O3239" s="126"/>
      <c r="P3239" s="135"/>
      <c r="Q3239" s="135"/>
    </row>
    <row r="3240" spans="11:17" ht="12.75">
      <c r="K3240" s="118"/>
      <c r="L3240" s="118"/>
      <c r="M3240" s="126"/>
      <c r="N3240" s="126"/>
      <c r="O3240" s="126"/>
      <c r="P3240" s="135"/>
      <c r="Q3240" s="135"/>
    </row>
    <row r="3241" spans="11:17" ht="12.75">
      <c r="K3241" s="118"/>
      <c r="L3241" s="118"/>
      <c r="M3241" s="126"/>
      <c r="N3241" s="126"/>
      <c r="O3241" s="126"/>
      <c r="P3241" s="135"/>
      <c r="Q3241" s="135"/>
    </row>
    <row r="3242" spans="11:17" ht="12.75">
      <c r="K3242" s="118"/>
      <c r="L3242" s="118"/>
      <c r="M3242" s="126"/>
      <c r="N3242" s="126"/>
      <c r="O3242" s="126"/>
      <c r="P3242" s="135"/>
      <c r="Q3242" s="135"/>
    </row>
    <row r="3243" spans="11:17" ht="12.75">
      <c r="K3243" s="118"/>
      <c r="L3243" s="118"/>
      <c r="M3243" s="126"/>
      <c r="N3243" s="126"/>
      <c r="O3243" s="126"/>
      <c r="P3243" s="135"/>
      <c r="Q3243" s="135"/>
    </row>
    <row r="3244" spans="11:17" ht="12.75">
      <c r="K3244" s="118"/>
      <c r="L3244" s="118"/>
      <c r="M3244" s="126"/>
      <c r="N3244" s="126"/>
      <c r="O3244" s="126"/>
      <c r="P3244" s="135"/>
      <c r="Q3244" s="135"/>
    </row>
    <row r="3245" spans="11:17" ht="12.75">
      <c r="K3245" s="118"/>
      <c r="L3245" s="118"/>
      <c r="M3245" s="126"/>
      <c r="N3245" s="126"/>
      <c r="O3245" s="126"/>
      <c r="P3245" s="135"/>
      <c r="Q3245" s="135"/>
    </row>
    <row r="3246" spans="11:17" ht="12.75">
      <c r="K3246" s="118"/>
      <c r="L3246" s="118"/>
      <c r="M3246" s="126"/>
      <c r="N3246" s="126"/>
      <c r="O3246" s="126"/>
      <c r="P3246" s="135"/>
      <c r="Q3246" s="135"/>
    </row>
    <row r="3247" spans="11:17" ht="12.75">
      <c r="K3247" s="118"/>
      <c r="L3247" s="118"/>
      <c r="M3247" s="126"/>
      <c r="N3247" s="126"/>
      <c r="O3247" s="126"/>
      <c r="P3247" s="135"/>
      <c r="Q3247" s="135"/>
    </row>
    <row r="3248" spans="11:17" ht="12.75">
      <c r="K3248" s="118"/>
      <c r="L3248" s="118"/>
      <c r="M3248" s="126"/>
      <c r="N3248" s="126"/>
      <c r="O3248" s="126"/>
      <c r="P3248" s="135"/>
      <c r="Q3248" s="135"/>
    </row>
    <row r="3249" spans="11:17" ht="12.75">
      <c r="K3249" s="118"/>
      <c r="L3249" s="118"/>
      <c r="M3249" s="126"/>
      <c r="N3249" s="126"/>
      <c r="O3249" s="126"/>
      <c r="P3249" s="135"/>
      <c r="Q3249" s="135"/>
    </row>
    <row r="3250" spans="11:17" ht="12.75">
      <c r="K3250" s="118"/>
      <c r="L3250" s="118"/>
      <c r="M3250" s="126"/>
      <c r="N3250" s="126"/>
      <c r="O3250" s="126"/>
      <c r="P3250" s="135"/>
      <c r="Q3250" s="135"/>
    </row>
    <row r="3251" spans="11:17" ht="12.75">
      <c r="K3251" s="118"/>
      <c r="L3251" s="118"/>
      <c r="M3251" s="126"/>
      <c r="N3251" s="126"/>
      <c r="O3251" s="126"/>
      <c r="P3251" s="135"/>
      <c r="Q3251" s="135"/>
    </row>
    <row r="3252" spans="11:17" ht="12.75">
      <c r="K3252" s="118"/>
      <c r="L3252" s="118"/>
      <c r="M3252" s="126"/>
      <c r="N3252" s="126"/>
      <c r="O3252" s="126"/>
      <c r="P3252" s="135"/>
      <c r="Q3252" s="135"/>
    </row>
    <row r="3253" spans="11:17" ht="12.75">
      <c r="K3253" s="118"/>
      <c r="L3253" s="118"/>
      <c r="M3253" s="126"/>
      <c r="N3253" s="126"/>
      <c r="O3253" s="126"/>
      <c r="P3253" s="135"/>
      <c r="Q3253" s="135"/>
    </row>
    <row r="3254" spans="11:17" ht="12.75">
      <c r="K3254" s="118"/>
      <c r="L3254" s="118"/>
      <c r="M3254" s="126"/>
      <c r="N3254" s="126"/>
      <c r="O3254" s="126"/>
      <c r="P3254" s="135"/>
      <c r="Q3254" s="135"/>
    </row>
    <row r="3255" spans="11:17" ht="12.75">
      <c r="K3255" s="118"/>
      <c r="L3255" s="118"/>
      <c r="M3255" s="126"/>
      <c r="N3255" s="126"/>
      <c r="O3255" s="126"/>
      <c r="P3255" s="135"/>
      <c r="Q3255" s="135"/>
    </row>
    <row r="3256" spans="11:17" ht="12.75">
      <c r="K3256" s="118"/>
      <c r="L3256" s="118"/>
      <c r="M3256" s="126"/>
      <c r="N3256" s="126"/>
      <c r="O3256" s="126"/>
      <c r="P3256" s="135"/>
      <c r="Q3256" s="135"/>
    </row>
    <row r="3257" spans="11:17" ht="12.75">
      <c r="K3257" s="118"/>
      <c r="L3257" s="118"/>
      <c r="M3257" s="126"/>
      <c r="N3257" s="126"/>
      <c r="O3257" s="126"/>
      <c r="P3257" s="135"/>
      <c r="Q3257" s="135"/>
    </row>
    <row r="3258" spans="11:17" ht="12.75">
      <c r="K3258" s="118"/>
      <c r="L3258" s="118"/>
      <c r="M3258" s="126"/>
      <c r="N3258" s="126"/>
      <c r="O3258" s="126"/>
      <c r="P3258" s="135"/>
      <c r="Q3258" s="135"/>
    </row>
    <row r="3259" spans="11:17" ht="12.75">
      <c r="K3259" s="118"/>
      <c r="L3259" s="118"/>
      <c r="M3259" s="126"/>
      <c r="N3259" s="126"/>
      <c r="O3259" s="126"/>
      <c r="P3259" s="135"/>
      <c r="Q3259" s="135"/>
    </row>
    <row r="3260" spans="11:17" ht="12.75">
      <c r="K3260" s="118"/>
      <c r="L3260" s="118"/>
      <c r="M3260" s="126"/>
      <c r="N3260" s="126"/>
      <c r="O3260" s="126"/>
      <c r="P3260" s="135"/>
      <c r="Q3260" s="135"/>
    </row>
    <row r="3261" spans="11:17" ht="12.75">
      <c r="K3261" s="118"/>
      <c r="L3261" s="118"/>
      <c r="M3261" s="126"/>
      <c r="N3261" s="126"/>
      <c r="O3261" s="126"/>
      <c r="P3261" s="135"/>
      <c r="Q3261" s="135"/>
    </row>
    <row r="3262" spans="11:17" ht="12.75">
      <c r="K3262" s="118"/>
      <c r="L3262" s="118"/>
      <c r="M3262" s="126"/>
      <c r="N3262" s="126"/>
      <c r="O3262" s="126"/>
      <c r="P3262" s="135"/>
      <c r="Q3262" s="135"/>
    </row>
    <row r="3263" spans="11:17" ht="12.75">
      <c r="K3263" s="118"/>
      <c r="L3263" s="118"/>
      <c r="M3263" s="126"/>
      <c r="N3263" s="126"/>
      <c r="O3263" s="126"/>
      <c r="P3263" s="135"/>
      <c r="Q3263" s="135"/>
    </row>
    <row r="3264" spans="11:17" ht="12.75">
      <c r="K3264" s="118"/>
      <c r="L3264" s="118"/>
      <c r="M3264" s="126"/>
      <c r="N3264" s="126"/>
      <c r="O3264" s="126"/>
      <c r="P3264" s="135"/>
      <c r="Q3264" s="135"/>
    </row>
    <row r="3265" spans="11:17" ht="12.75">
      <c r="K3265" s="118"/>
      <c r="L3265" s="118"/>
      <c r="M3265" s="126"/>
      <c r="N3265" s="126"/>
      <c r="O3265" s="126"/>
      <c r="P3265" s="135"/>
      <c r="Q3265" s="135"/>
    </row>
    <row r="3266" spans="11:17" ht="12.75">
      <c r="K3266" s="118"/>
      <c r="L3266" s="118"/>
      <c r="M3266" s="126"/>
      <c r="N3266" s="126"/>
      <c r="O3266" s="126"/>
      <c r="P3266" s="135"/>
      <c r="Q3266" s="135"/>
    </row>
    <row r="3267" spans="11:17" ht="12.75">
      <c r="K3267" s="118"/>
      <c r="L3267" s="118"/>
      <c r="M3267" s="126"/>
      <c r="N3267" s="126"/>
      <c r="O3267" s="126"/>
      <c r="P3267" s="135"/>
      <c r="Q3267" s="135"/>
    </row>
    <row r="3268" spans="11:17" ht="12.75">
      <c r="K3268" s="118"/>
      <c r="L3268" s="118"/>
      <c r="M3268" s="126"/>
      <c r="N3268" s="126"/>
      <c r="O3268" s="126"/>
      <c r="P3268" s="135"/>
      <c r="Q3268" s="135"/>
    </row>
    <row r="3269" spans="11:17" ht="12.75">
      <c r="K3269" s="118"/>
      <c r="L3269" s="118"/>
      <c r="M3269" s="126"/>
      <c r="N3269" s="126"/>
      <c r="O3269" s="126"/>
      <c r="P3269" s="135"/>
      <c r="Q3269" s="135"/>
    </row>
    <row r="3270" spans="11:17" ht="12.75">
      <c r="K3270" s="118"/>
      <c r="L3270" s="118"/>
      <c r="M3270" s="126"/>
      <c r="N3270" s="126"/>
      <c r="O3270" s="126"/>
      <c r="P3270" s="135"/>
      <c r="Q3270" s="135"/>
    </row>
    <row r="3271" spans="11:17" ht="12.75">
      <c r="K3271" s="118"/>
      <c r="L3271" s="118"/>
      <c r="M3271" s="126"/>
      <c r="N3271" s="126"/>
      <c r="O3271" s="126"/>
      <c r="P3271" s="135"/>
      <c r="Q3271" s="135"/>
    </row>
    <row r="3272" spans="11:17" ht="12.75">
      <c r="K3272" s="118"/>
      <c r="L3272" s="118"/>
      <c r="M3272" s="126"/>
      <c r="N3272" s="126"/>
      <c r="O3272" s="126"/>
      <c r="P3272" s="135"/>
      <c r="Q3272" s="135"/>
    </row>
    <row r="3273" spans="11:17" ht="12.75">
      <c r="K3273" s="118"/>
      <c r="L3273" s="118"/>
      <c r="M3273" s="126"/>
      <c r="N3273" s="126"/>
      <c r="O3273" s="126"/>
      <c r="P3273" s="135"/>
      <c r="Q3273" s="135"/>
    </row>
    <row r="3274" spans="11:17" ht="12.75">
      <c r="K3274" s="118"/>
      <c r="L3274" s="118"/>
      <c r="M3274" s="126"/>
      <c r="N3274" s="126"/>
      <c r="O3274" s="126"/>
      <c r="P3274" s="135"/>
      <c r="Q3274" s="135"/>
    </row>
    <row r="3275" spans="11:17" ht="12.75">
      <c r="K3275" s="118"/>
      <c r="L3275" s="118"/>
      <c r="M3275" s="126"/>
      <c r="N3275" s="126"/>
      <c r="O3275" s="126"/>
      <c r="P3275" s="135"/>
      <c r="Q3275" s="135"/>
    </row>
    <row r="3276" spans="11:17" ht="12.75">
      <c r="K3276" s="118"/>
      <c r="L3276" s="118"/>
      <c r="M3276" s="126"/>
      <c r="N3276" s="126"/>
      <c r="O3276" s="126"/>
      <c r="P3276" s="135"/>
      <c r="Q3276" s="135"/>
    </row>
    <row r="3277" spans="11:17" ht="12.75">
      <c r="K3277" s="118"/>
      <c r="L3277" s="118"/>
      <c r="M3277" s="126"/>
      <c r="N3277" s="126"/>
      <c r="O3277" s="126"/>
      <c r="P3277" s="135"/>
      <c r="Q3277" s="135"/>
    </row>
    <row r="3278" spans="11:17" ht="12.75">
      <c r="K3278" s="118"/>
      <c r="L3278" s="118"/>
      <c r="M3278" s="126"/>
      <c r="N3278" s="126"/>
      <c r="O3278" s="126"/>
      <c r="P3278" s="135"/>
      <c r="Q3278" s="135"/>
    </row>
    <row r="3279" spans="11:17" ht="12.75">
      <c r="K3279" s="118"/>
      <c r="L3279" s="118"/>
      <c r="M3279" s="126"/>
      <c r="N3279" s="126"/>
      <c r="O3279" s="126"/>
      <c r="P3279" s="135"/>
      <c r="Q3279" s="135"/>
    </row>
    <row r="3280" spans="11:17" ht="12.75">
      <c r="K3280" s="118"/>
      <c r="L3280" s="118"/>
      <c r="M3280" s="126"/>
      <c r="N3280" s="126"/>
      <c r="O3280" s="126"/>
      <c r="P3280" s="135"/>
      <c r="Q3280" s="135"/>
    </row>
    <row r="3281" spans="11:17" ht="12.75">
      <c r="K3281" s="118"/>
      <c r="L3281" s="118"/>
      <c r="M3281" s="126"/>
      <c r="N3281" s="126"/>
      <c r="O3281" s="126"/>
      <c r="P3281" s="135"/>
      <c r="Q3281" s="135"/>
    </row>
    <row r="3282" spans="11:17" ht="12.75">
      <c r="K3282" s="118"/>
      <c r="L3282" s="118"/>
      <c r="M3282" s="126"/>
      <c r="N3282" s="126"/>
      <c r="O3282" s="126"/>
      <c r="P3282" s="135"/>
      <c r="Q3282" s="135"/>
    </row>
    <row r="3283" spans="11:17" ht="12.75">
      <c r="K3283" s="118"/>
      <c r="L3283" s="118"/>
      <c r="M3283" s="126"/>
      <c r="N3283" s="126"/>
      <c r="O3283" s="126"/>
      <c r="P3283" s="135"/>
      <c r="Q3283" s="135"/>
    </row>
    <row r="3284" spans="11:17" ht="12.75">
      <c r="K3284" s="118"/>
      <c r="L3284" s="118"/>
      <c r="M3284" s="126"/>
      <c r="N3284" s="126"/>
      <c r="O3284" s="126"/>
      <c r="P3284" s="135"/>
      <c r="Q3284" s="135"/>
    </row>
    <row r="3285" spans="11:17" ht="12.75">
      <c r="K3285" s="118"/>
      <c r="L3285" s="118"/>
      <c r="M3285" s="126"/>
      <c r="N3285" s="126"/>
      <c r="O3285" s="126"/>
      <c r="P3285" s="135"/>
      <c r="Q3285" s="135"/>
    </row>
    <row r="3286" spans="11:17" ht="12.75">
      <c r="K3286" s="118"/>
      <c r="L3286" s="118"/>
      <c r="M3286" s="126"/>
      <c r="N3286" s="126"/>
      <c r="O3286" s="126"/>
      <c r="P3286" s="135"/>
      <c r="Q3286" s="135"/>
    </row>
    <row r="3287" spans="11:17" ht="12.75">
      <c r="K3287" s="118"/>
      <c r="L3287" s="118"/>
      <c r="M3287" s="126"/>
      <c r="N3287" s="126"/>
      <c r="O3287" s="126"/>
      <c r="P3287" s="135"/>
      <c r="Q3287" s="135"/>
    </row>
    <row r="3288" spans="11:17" ht="12.75">
      <c r="K3288" s="118"/>
      <c r="L3288" s="118"/>
      <c r="M3288" s="126"/>
      <c r="N3288" s="126"/>
      <c r="O3288" s="126"/>
      <c r="P3288" s="135"/>
      <c r="Q3288" s="135"/>
    </row>
    <row r="3289" spans="11:17" ht="12.75">
      <c r="K3289" s="118"/>
      <c r="L3289" s="118"/>
      <c r="M3289" s="126"/>
      <c r="N3289" s="126"/>
      <c r="O3289" s="126"/>
      <c r="P3289" s="135"/>
      <c r="Q3289" s="135"/>
    </row>
    <row r="3290" spans="11:17" ht="12.75">
      <c r="K3290" s="118"/>
      <c r="L3290" s="118"/>
      <c r="M3290" s="126"/>
      <c r="N3290" s="126"/>
      <c r="O3290" s="126"/>
      <c r="P3290" s="135"/>
      <c r="Q3290" s="135"/>
    </row>
    <row r="3291" spans="11:17" ht="12.75">
      <c r="K3291" s="118"/>
      <c r="L3291" s="118"/>
      <c r="M3291" s="126"/>
      <c r="N3291" s="126"/>
      <c r="O3291" s="126"/>
      <c r="P3291" s="135"/>
      <c r="Q3291" s="135"/>
    </row>
    <row r="3292" spans="11:17" ht="12.75">
      <c r="K3292" s="118"/>
      <c r="L3292" s="118"/>
      <c r="M3292" s="126"/>
      <c r="N3292" s="126"/>
      <c r="O3292" s="126"/>
      <c r="P3292" s="135"/>
      <c r="Q3292" s="135"/>
    </row>
    <row r="3293" spans="11:17" ht="12.75">
      <c r="K3293" s="118"/>
      <c r="L3293" s="118"/>
      <c r="M3293" s="126"/>
      <c r="N3293" s="126"/>
      <c r="O3293" s="126"/>
      <c r="P3293" s="135"/>
      <c r="Q3293" s="135"/>
    </row>
    <row r="3294" spans="11:17" ht="12.75">
      <c r="K3294" s="118"/>
      <c r="L3294" s="118"/>
      <c r="M3294" s="126"/>
      <c r="N3294" s="126"/>
      <c r="O3294" s="126"/>
      <c r="P3294" s="135"/>
      <c r="Q3294" s="135"/>
    </row>
    <row r="3295" spans="11:17" ht="12.75">
      <c r="K3295" s="118"/>
      <c r="L3295" s="118"/>
      <c r="M3295" s="126"/>
      <c r="N3295" s="126"/>
      <c r="O3295" s="126"/>
      <c r="P3295" s="135"/>
      <c r="Q3295" s="135"/>
    </row>
    <row r="3296" spans="11:17" ht="12.75">
      <c r="K3296" s="118"/>
      <c r="L3296" s="118"/>
      <c r="M3296" s="126"/>
      <c r="N3296" s="126"/>
      <c r="O3296" s="126"/>
      <c r="P3296" s="135"/>
      <c r="Q3296" s="135"/>
    </row>
    <row r="3297" spans="11:17" ht="12.75">
      <c r="K3297" s="118"/>
      <c r="L3297" s="118"/>
      <c r="M3297" s="126"/>
      <c r="N3297" s="126"/>
      <c r="O3297" s="126"/>
      <c r="P3297" s="135"/>
      <c r="Q3297" s="135"/>
    </row>
    <row r="3298" spans="11:17" ht="12.75">
      <c r="K3298" s="118"/>
      <c r="L3298" s="118"/>
      <c r="M3298" s="126"/>
      <c r="N3298" s="126"/>
      <c r="O3298" s="126"/>
      <c r="P3298" s="135"/>
      <c r="Q3298" s="135"/>
    </row>
    <row r="3299" spans="11:17" ht="12.75">
      <c r="K3299" s="118"/>
      <c r="L3299" s="118"/>
      <c r="M3299" s="126"/>
      <c r="N3299" s="126"/>
      <c r="O3299" s="126"/>
      <c r="P3299" s="135"/>
      <c r="Q3299" s="135"/>
    </row>
    <row r="3300" spans="11:17" ht="12.75">
      <c r="K3300" s="118"/>
      <c r="L3300" s="118"/>
      <c r="M3300" s="126"/>
      <c r="N3300" s="126"/>
      <c r="O3300" s="126"/>
      <c r="P3300" s="135"/>
      <c r="Q3300" s="135"/>
    </row>
    <row r="3301" spans="11:17" ht="12.75">
      <c r="K3301" s="118"/>
      <c r="L3301" s="118"/>
      <c r="M3301" s="126"/>
      <c r="N3301" s="126"/>
      <c r="O3301" s="126"/>
      <c r="P3301" s="135"/>
      <c r="Q3301" s="135"/>
    </row>
    <row r="3302" spans="11:17" ht="12.75">
      <c r="K3302" s="118"/>
      <c r="L3302" s="118"/>
      <c r="M3302" s="126"/>
      <c r="N3302" s="126"/>
      <c r="O3302" s="126"/>
      <c r="P3302" s="135"/>
      <c r="Q3302" s="135"/>
    </row>
    <row r="3303" spans="11:17" ht="12.75">
      <c r="K3303" s="118"/>
      <c r="L3303" s="118"/>
      <c r="M3303" s="126"/>
      <c r="N3303" s="126"/>
      <c r="O3303" s="126"/>
      <c r="P3303" s="135"/>
      <c r="Q3303" s="135"/>
    </row>
    <row r="3304" spans="11:17" ht="12.75">
      <c r="K3304" s="118"/>
      <c r="L3304" s="118"/>
      <c r="M3304" s="126"/>
      <c r="N3304" s="126"/>
      <c r="O3304" s="126"/>
      <c r="P3304" s="135"/>
      <c r="Q3304" s="135"/>
    </row>
    <row r="3305" spans="11:17" ht="12.75">
      <c r="K3305" s="118"/>
      <c r="L3305" s="118"/>
      <c r="M3305" s="126"/>
      <c r="N3305" s="126"/>
      <c r="O3305" s="126"/>
      <c r="P3305" s="135"/>
      <c r="Q3305" s="135"/>
    </row>
    <row r="3306" spans="11:17" ht="12.75">
      <c r="K3306" s="118"/>
      <c r="L3306" s="118"/>
      <c r="M3306" s="126"/>
      <c r="N3306" s="126"/>
      <c r="O3306" s="126"/>
      <c r="P3306" s="135"/>
      <c r="Q3306" s="135"/>
    </row>
    <row r="3307" spans="11:17" ht="12.75">
      <c r="K3307" s="118"/>
      <c r="L3307" s="118"/>
      <c r="M3307" s="126"/>
      <c r="N3307" s="126"/>
      <c r="O3307" s="126"/>
      <c r="P3307" s="135"/>
      <c r="Q3307" s="135"/>
    </row>
    <row r="3308" spans="11:17" ht="12.75">
      <c r="K3308" s="118"/>
      <c r="L3308" s="118"/>
      <c r="M3308" s="126"/>
      <c r="N3308" s="126"/>
      <c r="O3308" s="126"/>
      <c r="P3308" s="135"/>
      <c r="Q3308" s="135"/>
    </row>
    <row r="3309" spans="11:17" ht="12.75">
      <c r="K3309" s="118"/>
      <c r="L3309" s="118"/>
      <c r="M3309" s="126"/>
      <c r="N3309" s="126"/>
      <c r="O3309" s="126"/>
      <c r="P3309" s="135"/>
      <c r="Q3309" s="135"/>
    </row>
    <row r="3310" spans="11:17" ht="12.75">
      <c r="K3310" s="118"/>
      <c r="L3310" s="118"/>
      <c r="M3310" s="126"/>
      <c r="N3310" s="126"/>
      <c r="O3310" s="126"/>
      <c r="P3310" s="135"/>
      <c r="Q3310" s="135"/>
    </row>
    <row r="3311" spans="11:17" ht="12.75">
      <c r="K3311" s="118"/>
      <c r="L3311" s="118"/>
      <c r="M3311" s="126"/>
      <c r="N3311" s="126"/>
      <c r="O3311" s="126"/>
      <c r="P3311" s="135"/>
      <c r="Q3311" s="135"/>
    </row>
    <row r="3312" spans="11:17" ht="12.75">
      <c r="K3312" s="118"/>
      <c r="L3312" s="118"/>
      <c r="M3312" s="126"/>
      <c r="N3312" s="126"/>
      <c r="O3312" s="126"/>
      <c r="P3312" s="135"/>
      <c r="Q3312" s="135"/>
    </row>
    <row r="3313" spans="11:17" ht="12.75">
      <c r="K3313" s="118"/>
      <c r="L3313" s="118"/>
      <c r="M3313" s="126"/>
      <c r="N3313" s="126"/>
      <c r="O3313" s="126"/>
      <c r="P3313" s="135"/>
      <c r="Q3313" s="135"/>
    </row>
    <row r="3314" spans="11:17" ht="12.75">
      <c r="K3314" s="118"/>
      <c r="L3314" s="118"/>
      <c r="M3314" s="126"/>
      <c r="N3314" s="126"/>
      <c r="O3314" s="126"/>
      <c r="P3314" s="135"/>
      <c r="Q3314" s="135"/>
    </row>
    <row r="3315" spans="11:17" ht="12.75">
      <c r="K3315" s="118"/>
      <c r="L3315" s="118"/>
      <c r="M3315" s="126"/>
      <c r="N3315" s="126"/>
      <c r="O3315" s="126"/>
      <c r="P3315" s="135"/>
      <c r="Q3315" s="135"/>
    </row>
    <row r="3316" spans="11:17" ht="12.75">
      <c r="K3316" s="118"/>
      <c r="L3316" s="118"/>
      <c r="M3316" s="126"/>
      <c r="N3316" s="126"/>
      <c r="O3316" s="126"/>
      <c r="P3316" s="135"/>
      <c r="Q3316" s="135"/>
    </row>
    <row r="3317" spans="11:17" ht="12.75">
      <c r="K3317" s="118"/>
      <c r="L3317" s="118"/>
      <c r="M3317" s="126"/>
      <c r="N3317" s="126"/>
      <c r="O3317" s="126"/>
      <c r="P3317" s="135"/>
      <c r="Q3317" s="135"/>
    </row>
    <row r="3318" spans="11:17" ht="12.75">
      <c r="K3318" s="118"/>
      <c r="L3318" s="118"/>
      <c r="M3318" s="126"/>
      <c r="N3318" s="126"/>
      <c r="O3318" s="126"/>
      <c r="P3318" s="135"/>
      <c r="Q3318" s="135"/>
    </row>
    <row r="3319" spans="11:17" ht="12.75">
      <c r="K3319" s="118"/>
      <c r="L3319" s="118"/>
      <c r="M3319" s="126"/>
      <c r="N3319" s="126"/>
      <c r="O3319" s="126"/>
      <c r="P3319" s="135"/>
      <c r="Q3319" s="135"/>
    </row>
    <row r="3320" spans="11:17" ht="12.75">
      <c r="K3320" s="118"/>
      <c r="L3320" s="118"/>
      <c r="M3320" s="126"/>
      <c r="N3320" s="126"/>
      <c r="O3320" s="126"/>
      <c r="P3320" s="135"/>
      <c r="Q3320" s="135"/>
    </row>
    <row r="3321" spans="11:17" ht="12.75">
      <c r="K3321" s="118"/>
      <c r="L3321" s="118"/>
      <c r="M3321" s="126"/>
      <c r="N3321" s="126"/>
      <c r="O3321" s="126"/>
      <c r="P3321" s="135"/>
      <c r="Q3321" s="135"/>
    </row>
    <row r="3322" spans="11:17" ht="12.75">
      <c r="K3322" s="118"/>
      <c r="L3322" s="118"/>
      <c r="M3322" s="126"/>
      <c r="N3322" s="126"/>
      <c r="O3322" s="126"/>
      <c r="P3322" s="135"/>
      <c r="Q3322" s="135"/>
    </row>
    <row r="3323" spans="11:17" ht="12.75">
      <c r="K3323" s="118"/>
      <c r="L3323" s="118"/>
      <c r="M3323" s="126"/>
      <c r="N3323" s="126"/>
      <c r="O3323" s="126"/>
      <c r="P3323" s="135"/>
      <c r="Q3323" s="135"/>
    </row>
    <row r="3324" spans="11:17" ht="12.75">
      <c r="K3324" s="118"/>
      <c r="L3324" s="118"/>
      <c r="M3324" s="126"/>
      <c r="N3324" s="126"/>
      <c r="O3324" s="126"/>
      <c r="P3324" s="135"/>
      <c r="Q3324" s="135"/>
    </row>
    <row r="3325" spans="11:17" ht="12.75">
      <c r="K3325" s="118"/>
      <c r="L3325" s="118"/>
      <c r="M3325" s="126"/>
      <c r="N3325" s="126"/>
      <c r="O3325" s="126"/>
      <c r="P3325" s="135"/>
      <c r="Q3325" s="135"/>
    </row>
    <row r="3326" spans="11:17" ht="12.75">
      <c r="K3326" s="118"/>
      <c r="L3326" s="118"/>
      <c r="M3326" s="126"/>
      <c r="N3326" s="126"/>
      <c r="O3326" s="126"/>
      <c r="P3326" s="135"/>
      <c r="Q3326" s="135"/>
    </row>
    <row r="3327" spans="11:17" ht="12.75">
      <c r="K3327" s="118"/>
      <c r="L3327" s="118"/>
      <c r="M3327" s="126"/>
      <c r="N3327" s="126"/>
      <c r="O3327" s="126"/>
      <c r="P3327" s="135"/>
      <c r="Q3327" s="135"/>
    </row>
    <row r="3328" spans="11:17" ht="12.75">
      <c r="K3328" s="118"/>
      <c r="L3328" s="118"/>
      <c r="M3328" s="126"/>
      <c r="N3328" s="126"/>
      <c r="O3328" s="126"/>
      <c r="P3328" s="135"/>
      <c r="Q3328" s="135"/>
    </row>
    <row r="3329" spans="11:17" ht="12.75">
      <c r="K3329" s="118"/>
      <c r="L3329" s="118"/>
      <c r="M3329" s="126"/>
      <c r="N3329" s="126"/>
      <c r="O3329" s="126"/>
      <c r="P3329" s="135"/>
      <c r="Q3329" s="135"/>
    </row>
    <row r="3330" spans="11:17" ht="12.75">
      <c r="K3330" s="118"/>
      <c r="L3330" s="118"/>
      <c r="M3330" s="126"/>
      <c r="N3330" s="126"/>
      <c r="O3330" s="126"/>
      <c r="P3330" s="135"/>
      <c r="Q3330" s="135"/>
    </row>
    <row r="3331" spans="11:17" ht="12.75">
      <c r="K3331" s="118"/>
      <c r="L3331" s="118"/>
      <c r="M3331" s="126"/>
      <c r="N3331" s="126"/>
      <c r="O3331" s="126"/>
      <c r="P3331" s="135"/>
      <c r="Q3331" s="135"/>
    </row>
    <row r="3332" spans="11:17" ht="12.75">
      <c r="K3332" s="118"/>
      <c r="L3332" s="118"/>
      <c r="M3332" s="126"/>
      <c r="N3332" s="126"/>
      <c r="O3332" s="126"/>
      <c r="P3332" s="135"/>
      <c r="Q3332" s="135"/>
    </row>
    <row r="3333" spans="11:17" ht="12.75">
      <c r="K3333" s="118"/>
      <c r="L3333" s="118"/>
      <c r="M3333" s="126"/>
      <c r="N3333" s="126"/>
      <c r="O3333" s="126"/>
      <c r="P3333" s="135"/>
      <c r="Q3333" s="135"/>
    </row>
    <row r="3334" spans="11:17" ht="12.75">
      <c r="K3334" s="118"/>
      <c r="L3334" s="118"/>
      <c r="M3334" s="126"/>
      <c r="N3334" s="126"/>
      <c r="O3334" s="126"/>
      <c r="P3334" s="135"/>
      <c r="Q3334" s="135"/>
    </row>
    <row r="3335" spans="11:17" ht="12.75">
      <c r="K3335" s="118"/>
      <c r="L3335" s="118"/>
      <c r="M3335" s="126"/>
      <c r="N3335" s="126"/>
      <c r="O3335" s="126"/>
      <c r="P3335" s="135"/>
      <c r="Q3335" s="135"/>
    </row>
    <row r="3336" spans="11:17" ht="12.75">
      <c r="K3336" s="118"/>
      <c r="L3336" s="118"/>
      <c r="M3336" s="126"/>
      <c r="N3336" s="126"/>
      <c r="O3336" s="126"/>
      <c r="P3336" s="135"/>
      <c r="Q3336" s="135"/>
    </row>
    <row r="3337" spans="11:17" ht="12.75">
      <c r="K3337" s="118"/>
      <c r="L3337" s="118"/>
      <c r="M3337" s="126"/>
      <c r="N3337" s="126"/>
      <c r="O3337" s="126"/>
      <c r="P3337" s="135"/>
      <c r="Q3337" s="135"/>
    </row>
    <row r="3338" spans="11:17" ht="12.75">
      <c r="K3338" s="118"/>
      <c r="L3338" s="118"/>
      <c r="M3338" s="126"/>
      <c r="N3338" s="126"/>
      <c r="O3338" s="126"/>
      <c r="P3338" s="135"/>
      <c r="Q3338" s="135"/>
    </row>
    <row r="3339" spans="11:17" ht="12.75">
      <c r="K3339" s="118"/>
      <c r="L3339" s="118"/>
      <c r="M3339" s="126"/>
      <c r="N3339" s="126"/>
      <c r="O3339" s="126"/>
      <c r="P3339" s="135"/>
      <c r="Q3339" s="135"/>
    </row>
    <row r="3340" spans="11:17" ht="12.75">
      <c r="K3340" s="118"/>
      <c r="L3340" s="118"/>
      <c r="M3340" s="126"/>
      <c r="N3340" s="126"/>
      <c r="O3340" s="126"/>
      <c r="P3340" s="135"/>
      <c r="Q3340" s="135"/>
    </row>
    <row r="3341" spans="11:17" ht="12.75">
      <c r="K3341" s="118"/>
      <c r="L3341" s="118"/>
      <c r="M3341" s="126"/>
      <c r="N3341" s="126"/>
      <c r="O3341" s="126"/>
      <c r="P3341" s="135"/>
      <c r="Q3341" s="135"/>
    </row>
    <row r="3342" spans="11:17" ht="12.75">
      <c r="K3342" s="118"/>
      <c r="L3342" s="118"/>
      <c r="M3342" s="126"/>
      <c r="N3342" s="126"/>
      <c r="O3342" s="126"/>
      <c r="P3342" s="135"/>
      <c r="Q3342" s="135"/>
    </row>
    <row r="3343" spans="11:17" ht="12.75">
      <c r="K3343" s="118"/>
      <c r="L3343" s="118"/>
      <c r="M3343" s="126"/>
      <c r="N3343" s="126"/>
      <c r="O3343" s="126"/>
      <c r="P3343" s="135"/>
      <c r="Q3343" s="135"/>
    </row>
    <row r="3344" spans="11:17" ht="12.75">
      <c r="K3344" s="118"/>
      <c r="L3344" s="118"/>
      <c r="M3344" s="126"/>
      <c r="N3344" s="126"/>
      <c r="O3344" s="126"/>
      <c r="P3344" s="135"/>
      <c r="Q3344" s="135"/>
    </row>
    <row r="3345" spans="11:17" ht="12.75">
      <c r="K3345" s="118"/>
      <c r="L3345" s="118"/>
      <c r="M3345" s="126"/>
      <c r="N3345" s="126"/>
      <c r="O3345" s="126"/>
      <c r="P3345" s="135"/>
      <c r="Q3345" s="135"/>
    </row>
    <row r="3346" spans="11:17" ht="12.75">
      <c r="K3346" s="118"/>
      <c r="L3346" s="118"/>
      <c r="M3346" s="126"/>
      <c r="N3346" s="126"/>
      <c r="O3346" s="126"/>
      <c r="P3346" s="135"/>
      <c r="Q3346" s="135"/>
    </row>
    <row r="3347" spans="11:17" ht="12.75">
      <c r="K3347" s="118"/>
      <c r="L3347" s="118"/>
      <c r="M3347" s="126"/>
      <c r="N3347" s="126"/>
      <c r="O3347" s="126"/>
      <c r="P3347" s="135"/>
      <c r="Q3347" s="135"/>
    </row>
    <row r="3348" spans="11:17" ht="12.75">
      <c r="K3348" s="118"/>
      <c r="L3348" s="118"/>
      <c r="M3348" s="126"/>
      <c r="N3348" s="126"/>
      <c r="O3348" s="126"/>
      <c r="P3348" s="135"/>
      <c r="Q3348" s="135"/>
    </row>
    <row r="3349" spans="11:17" ht="12.75">
      <c r="K3349" s="118"/>
      <c r="L3349" s="118"/>
      <c r="M3349" s="126"/>
      <c r="N3349" s="126"/>
      <c r="O3349" s="126"/>
      <c r="P3349" s="135"/>
      <c r="Q3349" s="135"/>
    </row>
    <row r="3350" spans="11:17" ht="12.75">
      <c r="K3350" s="118"/>
      <c r="L3350" s="118"/>
      <c r="M3350" s="126"/>
      <c r="N3350" s="126"/>
      <c r="O3350" s="126"/>
      <c r="P3350" s="135"/>
      <c r="Q3350" s="135"/>
    </row>
    <row r="3351" spans="11:17" ht="12.75">
      <c r="K3351" s="118"/>
      <c r="L3351" s="118"/>
      <c r="M3351" s="126"/>
      <c r="N3351" s="126"/>
      <c r="O3351" s="126"/>
      <c r="P3351" s="135"/>
      <c r="Q3351" s="135"/>
    </row>
    <row r="3352" spans="11:17" ht="12.75">
      <c r="K3352" s="118"/>
      <c r="L3352" s="118"/>
      <c r="M3352" s="126"/>
      <c r="N3352" s="126"/>
      <c r="O3352" s="126"/>
      <c r="P3352" s="135"/>
      <c r="Q3352" s="135"/>
    </row>
    <row r="3353" spans="11:17" ht="12.75">
      <c r="K3353" s="118"/>
      <c r="L3353" s="118"/>
      <c r="M3353" s="126"/>
      <c r="N3353" s="126"/>
      <c r="O3353" s="126"/>
      <c r="P3353" s="135"/>
      <c r="Q3353" s="135"/>
    </row>
    <row r="3354" spans="11:17" ht="12.75">
      <c r="K3354" s="118"/>
      <c r="L3354" s="118"/>
      <c r="M3354" s="126"/>
      <c r="N3354" s="126"/>
      <c r="O3354" s="126"/>
      <c r="P3354" s="135"/>
      <c r="Q3354" s="135"/>
    </row>
    <row r="3355" spans="11:17" ht="12.75">
      <c r="K3355" s="118"/>
      <c r="L3355" s="118"/>
      <c r="M3355" s="126"/>
      <c r="N3355" s="126"/>
      <c r="O3355" s="126"/>
      <c r="P3355" s="135"/>
      <c r="Q3355" s="135"/>
    </row>
    <row r="3356" spans="11:17" ht="12.75">
      <c r="K3356" s="118"/>
      <c r="L3356" s="118"/>
      <c r="M3356" s="126"/>
      <c r="N3356" s="126"/>
      <c r="O3356" s="126"/>
      <c r="P3356" s="135"/>
      <c r="Q3356" s="135"/>
    </row>
    <row r="3357" spans="11:17" ht="12.75">
      <c r="K3357" s="118"/>
      <c r="L3357" s="118"/>
      <c r="M3357" s="126"/>
      <c r="N3357" s="126"/>
      <c r="O3357" s="126"/>
      <c r="P3357" s="135"/>
      <c r="Q3357" s="135"/>
    </row>
    <row r="3358" spans="11:17" ht="12.75">
      <c r="K3358" s="118"/>
      <c r="L3358" s="118"/>
      <c r="M3358" s="126"/>
      <c r="N3358" s="126"/>
      <c r="O3358" s="126"/>
      <c r="P3358" s="135"/>
      <c r="Q3358" s="135"/>
    </row>
    <row r="3359" spans="11:17" ht="12.75">
      <c r="K3359" s="118"/>
      <c r="L3359" s="118"/>
      <c r="M3359" s="126"/>
      <c r="N3359" s="126"/>
      <c r="O3359" s="126"/>
      <c r="P3359" s="135"/>
      <c r="Q3359" s="135"/>
    </row>
    <row r="3360" spans="11:17" ht="12.75">
      <c r="K3360" s="118"/>
      <c r="L3360" s="118"/>
      <c r="M3360" s="126"/>
      <c r="N3360" s="126"/>
      <c r="O3360" s="126"/>
      <c r="P3360" s="135"/>
      <c r="Q3360" s="135"/>
    </row>
    <row r="3361" spans="11:17" ht="12.75">
      <c r="K3361" s="118"/>
      <c r="L3361" s="118"/>
      <c r="M3361" s="126"/>
      <c r="N3361" s="126"/>
      <c r="O3361" s="126"/>
      <c r="P3361" s="135"/>
      <c r="Q3361" s="135"/>
    </row>
    <row r="3362" spans="11:17" ht="12.75">
      <c r="K3362" s="118"/>
      <c r="L3362" s="118"/>
      <c r="M3362" s="126"/>
      <c r="N3362" s="126"/>
      <c r="O3362" s="126"/>
      <c r="P3362" s="135"/>
      <c r="Q3362" s="135"/>
    </row>
    <row r="3363" spans="11:17" ht="12.75">
      <c r="K3363" s="118"/>
      <c r="L3363" s="118"/>
      <c r="M3363" s="126"/>
      <c r="N3363" s="126"/>
      <c r="O3363" s="126"/>
      <c r="P3363" s="135"/>
      <c r="Q3363" s="135"/>
    </row>
    <row r="3364" spans="11:17" ht="12.75">
      <c r="K3364" s="118"/>
      <c r="L3364" s="118"/>
      <c r="M3364" s="126"/>
      <c r="N3364" s="126"/>
      <c r="O3364" s="126"/>
      <c r="P3364" s="135"/>
      <c r="Q3364" s="135"/>
    </row>
    <row r="3365" spans="11:17" ht="12.75">
      <c r="K3365" s="118"/>
      <c r="L3365" s="118"/>
      <c r="M3365" s="126"/>
      <c r="N3365" s="126"/>
      <c r="O3365" s="126"/>
      <c r="P3365" s="135"/>
      <c r="Q3365" s="135"/>
    </row>
    <row r="3366" spans="11:17" ht="12.75">
      <c r="K3366" s="118"/>
      <c r="L3366" s="118"/>
      <c r="M3366" s="126"/>
      <c r="N3366" s="126"/>
      <c r="O3366" s="126"/>
      <c r="P3366" s="135"/>
      <c r="Q3366" s="135"/>
    </row>
    <row r="3367" spans="11:17" ht="12.75">
      <c r="K3367" s="118"/>
      <c r="L3367" s="118"/>
      <c r="M3367" s="126"/>
      <c r="N3367" s="126"/>
      <c r="O3367" s="126"/>
      <c r="P3367" s="135"/>
      <c r="Q3367" s="135"/>
    </row>
    <row r="3368" spans="11:17" ht="12.75">
      <c r="K3368" s="118"/>
      <c r="L3368" s="118"/>
      <c r="M3368" s="126"/>
      <c r="N3368" s="126"/>
      <c r="O3368" s="126"/>
      <c r="P3368" s="135"/>
      <c r="Q3368" s="135"/>
    </row>
    <row r="3369" spans="11:17" ht="12.75">
      <c r="K3369" s="118"/>
      <c r="L3369" s="118"/>
      <c r="M3369" s="126"/>
      <c r="N3369" s="126"/>
      <c r="O3369" s="126"/>
      <c r="P3369" s="135"/>
      <c r="Q3369" s="135"/>
    </row>
    <row r="3370" spans="11:17" ht="12.75">
      <c r="K3370" s="118"/>
      <c r="L3370" s="118"/>
      <c r="M3370" s="126"/>
      <c r="N3370" s="126"/>
      <c r="O3370" s="126"/>
      <c r="P3370" s="135"/>
      <c r="Q3370" s="135"/>
    </row>
    <row r="3371" spans="11:17" ht="12.75">
      <c r="K3371" s="118"/>
      <c r="L3371" s="118"/>
      <c r="M3371" s="126"/>
      <c r="N3371" s="126"/>
      <c r="O3371" s="126"/>
      <c r="P3371" s="135"/>
      <c r="Q3371" s="135"/>
    </row>
    <row r="3372" spans="11:17" ht="12.75">
      <c r="K3372" s="118"/>
      <c r="L3372" s="118"/>
      <c r="M3372" s="126"/>
      <c r="N3372" s="126"/>
      <c r="O3372" s="126"/>
      <c r="P3372" s="135"/>
      <c r="Q3372" s="135"/>
    </row>
    <row r="3373" spans="11:17" ht="12.75">
      <c r="K3373" s="118"/>
      <c r="L3373" s="118"/>
      <c r="M3373" s="126"/>
      <c r="N3373" s="126"/>
      <c r="O3373" s="126"/>
      <c r="P3373" s="135"/>
      <c r="Q3373" s="135"/>
    </row>
    <row r="3374" spans="11:17" ht="12.75">
      <c r="K3374" s="118"/>
      <c r="L3374" s="118"/>
      <c r="M3374" s="126"/>
      <c r="N3374" s="126"/>
      <c r="O3374" s="126"/>
      <c r="P3374" s="135"/>
      <c r="Q3374" s="135"/>
    </row>
    <row r="3375" spans="11:17" ht="12.75">
      <c r="K3375" s="118"/>
      <c r="L3375" s="118"/>
      <c r="M3375" s="126"/>
      <c r="N3375" s="126"/>
      <c r="O3375" s="126"/>
      <c r="P3375" s="135"/>
      <c r="Q3375" s="135"/>
    </row>
    <row r="3376" spans="11:17" ht="12.75">
      <c r="K3376" s="118"/>
      <c r="L3376" s="118"/>
      <c r="M3376" s="126"/>
      <c r="N3376" s="126"/>
      <c r="O3376" s="126"/>
      <c r="P3376" s="135"/>
      <c r="Q3376" s="135"/>
    </row>
    <row r="3377" spans="11:17" ht="12.75">
      <c r="K3377" s="118"/>
      <c r="L3377" s="118"/>
      <c r="M3377" s="126"/>
      <c r="N3377" s="126"/>
      <c r="O3377" s="126"/>
      <c r="P3377" s="135"/>
      <c r="Q3377" s="135"/>
    </row>
    <row r="3378" spans="11:17" ht="12.75">
      <c r="K3378" s="118"/>
      <c r="L3378" s="118"/>
      <c r="M3378" s="126"/>
      <c r="N3378" s="126"/>
      <c r="O3378" s="126"/>
      <c r="P3378" s="135"/>
      <c r="Q3378" s="135"/>
    </row>
    <row r="3379" spans="11:17" ht="12.75">
      <c r="K3379" s="118"/>
      <c r="L3379" s="118"/>
      <c r="M3379" s="126"/>
      <c r="N3379" s="126"/>
      <c r="O3379" s="126"/>
      <c r="P3379" s="135"/>
      <c r="Q3379" s="135"/>
    </row>
    <row r="3380" spans="11:17" ht="12.75">
      <c r="K3380" s="118"/>
      <c r="L3380" s="118"/>
      <c r="M3380" s="126"/>
      <c r="N3380" s="126"/>
      <c r="O3380" s="126"/>
      <c r="P3380" s="135"/>
      <c r="Q3380" s="135"/>
    </row>
    <row r="3381" spans="11:17" ht="12.75">
      <c r="K3381" s="118"/>
      <c r="L3381" s="118"/>
      <c r="M3381" s="126"/>
      <c r="N3381" s="126"/>
      <c r="O3381" s="126"/>
      <c r="P3381" s="135"/>
      <c r="Q3381" s="135"/>
    </row>
    <row r="3382" spans="11:17" ht="12.75">
      <c r="K3382" s="118"/>
      <c r="L3382" s="118"/>
      <c r="M3382" s="126"/>
      <c r="N3382" s="126"/>
      <c r="O3382" s="126"/>
      <c r="P3382" s="135"/>
      <c r="Q3382" s="135"/>
    </row>
    <row r="3383" spans="11:17" ht="12.75">
      <c r="K3383" s="118"/>
      <c r="L3383" s="118"/>
      <c r="M3383" s="126"/>
      <c r="N3383" s="126"/>
      <c r="O3383" s="126"/>
      <c r="P3383" s="135"/>
      <c r="Q3383" s="135"/>
    </row>
    <row r="3384" spans="11:17" ht="12.75">
      <c r="K3384" s="118"/>
      <c r="L3384" s="118"/>
      <c r="M3384" s="126"/>
      <c r="N3384" s="126"/>
      <c r="O3384" s="126"/>
      <c r="P3384" s="135"/>
      <c r="Q3384" s="135"/>
    </row>
    <row r="3385" spans="11:17" ht="12.75">
      <c r="K3385" s="118"/>
      <c r="L3385" s="118"/>
      <c r="M3385" s="126"/>
      <c r="N3385" s="126"/>
      <c r="O3385" s="126"/>
      <c r="P3385" s="135"/>
      <c r="Q3385" s="135"/>
    </row>
    <row r="3386" spans="11:17" ht="12.75">
      <c r="K3386" s="118"/>
      <c r="L3386" s="118"/>
      <c r="M3386" s="126"/>
      <c r="N3386" s="126"/>
      <c r="O3386" s="126"/>
      <c r="P3386" s="135"/>
      <c r="Q3386" s="135"/>
    </row>
    <row r="3387" spans="11:17" ht="12.75">
      <c r="K3387" s="118"/>
      <c r="L3387" s="118"/>
      <c r="M3387" s="126"/>
      <c r="N3387" s="126"/>
      <c r="O3387" s="126"/>
      <c r="P3387" s="135"/>
      <c r="Q3387" s="135"/>
    </row>
    <row r="3388" spans="11:17" ht="12.75">
      <c r="K3388" s="118"/>
      <c r="L3388" s="118"/>
      <c r="M3388" s="126"/>
      <c r="N3388" s="126"/>
      <c r="O3388" s="126"/>
      <c r="P3388" s="135"/>
      <c r="Q3388" s="135"/>
    </row>
    <row r="3389" spans="11:17" ht="12.75">
      <c r="K3389" s="118"/>
      <c r="L3389" s="118"/>
      <c r="M3389" s="126"/>
      <c r="N3389" s="126"/>
      <c r="O3389" s="126"/>
      <c r="P3389" s="135"/>
      <c r="Q3389" s="135"/>
    </row>
    <row r="3390" spans="11:17" ht="12.75">
      <c r="K3390" s="118"/>
      <c r="L3390" s="118"/>
      <c r="M3390" s="126"/>
      <c r="N3390" s="126"/>
      <c r="O3390" s="126"/>
      <c r="P3390" s="135"/>
      <c r="Q3390" s="135"/>
    </row>
    <row r="3391" spans="11:17" ht="12.75">
      <c r="K3391" s="118"/>
      <c r="L3391" s="118"/>
      <c r="M3391" s="126"/>
      <c r="N3391" s="126"/>
      <c r="O3391" s="126"/>
      <c r="P3391" s="135"/>
      <c r="Q3391" s="135"/>
    </row>
    <row r="3392" spans="11:17" ht="12.75">
      <c r="K3392" s="118"/>
      <c r="L3392" s="118"/>
      <c r="M3392" s="126"/>
      <c r="N3392" s="126"/>
      <c r="O3392" s="126"/>
      <c r="P3392" s="135"/>
      <c r="Q3392" s="135"/>
    </row>
    <row r="3393" spans="11:17" ht="12.75">
      <c r="K3393" s="118"/>
      <c r="L3393" s="118"/>
      <c r="M3393" s="126"/>
      <c r="N3393" s="126"/>
      <c r="O3393" s="126"/>
      <c r="P3393" s="135"/>
      <c r="Q3393" s="135"/>
    </row>
    <row r="3394" spans="11:17" ht="12.75">
      <c r="K3394" s="118"/>
      <c r="L3394" s="118"/>
      <c r="M3394" s="126"/>
      <c r="N3394" s="126"/>
      <c r="O3394" s="126"/>
      <c r="P3394" s="135"/>
      <c r="Q3394" s="135"/>
    </row>
    <row r="3395" spans="11:17" ht="12.75">
      <c r="K3395" s="118"/>
      <c r="L3395" s="118"/>
      <c r="M3395" s="126"/>
      <c r="N3395" s="126"/>
      <c r="O3395" s="126"/>
      <c r="P3395" s="135"/>
      <c r="Q3395" s="135"/>
    </row>
    <row r="3396" spans="11:17" ht="12.75">
      <c r="K3396" s="118"/>
      <c r="L3396" s="118"/>
      <c r="M3396" s="126"/>
      <c r="N3396" s="126"/>
      <c r="O3396" s="126"/>
      <c r="P3396" s="135"/>
      <c r="Q3396" s="135"/>
    </row>
    <row r="3397" spans="11:17" ht="12.75">
      <c r="K3397" s="118"/>
      <c r="L3397" s="118"/>
      <c r="M3397" s="126"/>
      <c r="N3397" s="126"/>
      <c r="O3397" s="126"/>
      <c r="P3397" s="135"/>
      <c r="Q3397" s="135"/>
    </row>
    <row r="3398" spans="11:17" ht="12.75">
      <c r="K3398" s="118"/>
      <c r="L3398" s="118"/>
      <c r="M3398" s="126"/>
      <c r="N3398" s="126"/>
      <c r="O3398" s="126"/>
      <c r="P3398" s="135"/>
      <c r="Q3398" s="135"/>
    </row>
    <row r="3399" spans="11:17" ht="12.75">
      <c r="K3399" s="118"/>
      <c r="L3399" s="118"/>
      <c r="M3399" s="126"/>
      <c r="N3399" s="126"/>
      <c r="O3399" s="126"/>
      <c r="P3399" s="135"/>
      <c r="Q3399" s="135"/>
    </row>
    <row r="3400" spans="11:17" ht="12.75">
      <c r="K3400" s="118"/>
      <c r="L3400" s="118"/>
      <c r="M3400" s="126"/>
      <c r="N3400" s="126"/>
      <c r="O3400" s="126"/>
      <c r="P3400" s="135"/>
      <c r="Q3400" s="135"/>
    </row>
    <row r="3401" spans="11:17" ht="12.75">
      <c r="K3401" s="118"/>
      <c r="L3401" s="118"/>
      <c r="M3401" s="126"/>
      <c r="N3401" s="126"/>
      <c r="O3401" s="126"/>
      <c r="P3401" s="135"/>
      <c r="Q3401" s="135"/>
    </row>
    <row r="3402" spans="11:17" ht="12.75">
      <c r="K3402" s="118"/>
      <c r="L3402" s="118"/>
      <c r="M3402" s="126"/>
      <c r="N3402" s="126"/>
      <c r="O3402" s="126"/>
      <c r="P3402" s="135"/>
      <c r="Q3402" s="135"/>
    </row>
    <row r="3403" spans="11:17" ht="12.75">
      <c r="K3403" s="118"/>
      <c r="L3403" s="118"/>
      <c r="M3403" s="126"/>
      <c r="N3403" s="126"/>
      <c r="O3403" s="126"/>
      <c r="P3403" s="135"/>
      <c r="Q3403" s="135"/>
    </row>
    <row r="3404" spans="11:17" ht="12.75">
      <c r="K3404" s="118"/>
      <c r="L3404" s="118"/>
      <c r="M3404" s="126"/>
      <c r="N3404" s="126"/>
      <c r="O3404" s="126"/>
      <c r="P3404" s="135"/>
      <c r="Q3404" s="135"/>
    </row>
    <row r="3405" spans="11:17" ht="12.75">
      <c r="K3405" s="118"/>
      <c r="L3405" s="118"/>
      <c r="M3405" s="126"/>
      <c r="N3405" s="126"/>
      <c r="O3405" s="126"/>
      <c r="P3405" s="135"/>
      <c r="Q3405" s="135"/>
    </row>
    <row r="3406" spans="11:17" ht="12.75">
      <c r="K3406" s="118"/>
      <c r="L3406" s="118"/>
      <c r="M3406" s="126"/>
      <c r="N3406" s="126"/>
      <c r="O3406" s="126"/>
      <c r="P3406" s="135"/>
      <c r="Q3406" s="135"/>
    </row>
    <row r="3407" spans="11:17" ht="12.75">
      <c r="K3407" s="118"/>
      <c r="L3407" s="118"/>
      <c r="M3407" s="126"/>
      <c r="N3407" s="126"/>
      <c r="O3407" s="126"/>
      <c r="P3407" s="135"/>
      <c r="Q3407" s="135"/>
    </row>
    <row r="3408" spans="11:17" ht="12.75">
      <c r="K3408" s="118"/>
      <c r="L3408" s="118"/>
      <c r="M3408" s="126"/>
      <c r="N3408" s="126"/>
      <c r="O3408" s="126"/>
      <c r="P3408" s="135"/>
      <c r="Q3408" s="135"/>
    </row>
    <row r="3409" spans="11:17" ht="12.75">
      <c r="K3409" s="118"/>
      <c r="L3409" s="118"/>
      <c r="M3409" s="126"/>
      <c r="N3409" s="126"/>
      <c r="O3409" s="126"/>
      <c r="P3409" s="135"/>
      <c r="Q3409" s="135"/>
    </row>
    <row r="3410" spans="11:17" ht="12.75">
      <c r="K3410" s="118"/>
      <c r="L3410" s="118"/>
      <c r="M3410" s="126"/>
      <c r="N3410" s="126"/>
      <c r="O3410" s="126"/>
      <c r="P3410" s="135"/>
      <c r="Q3410" s="135"/>
    </row>
    <row r="3411" spans="11:17" ht="12.75">
      <c r="K3411" s="118"/>
      <c r="L3411" s="118"/>
      <c r="M3411" s="126"/>
      <c r="N3411" s="126"/>
      <c r="O3411" s="126"/>
      <c r="P3411" s="135"/>
      <c r="Q3411" s="135"/>
    </row>
    <row r="3412" spans="11:17" ht="12.75">
      <c r="K3412" s="118"/>
      <c r="L3412" s="118"/>
      <c r="M3412" s="126"/>
      <c r="N3412" s="126"/>
      <c r="O3412" s="126"/>
      <c r="P3412" s="135"/>
      <c r="Q3412" s="135"/>
    </row>
    <row r="3413" spans="11:17" ht="12.75">
      <c r="K3413" s="118"/>
      <c r="L3413" s="118"/>
      <c r="M3413" s="126"/>
      <c r="N3413" s="126"/>
      <c r="O3413" s="126"/>
      <c r="P3413" s="135"/>
      <c r="Q3413" s="135"/>
    </row>
    <row r="3414" spans="11:17" ht="12.75">
      <c r="K3414" s="118"/>
      <c r="L3414" s="118"/>
      <c r="M3414" s="126"/>
      <c r="N3414" s="126"/>
      <c r="O3414" s="126"/>
      <c r="P3414" s="135"/>
      <c r="Q3414" s="135"/>
    </row>
    <row r="3415" spans="11:17" ht="12.75">
      <c r="K3415" s="118"/>
      <c r="L3415" s="118"/>
      <c r="M3415" s="126"/>
      <c r="N3415" s="126"/>
      <c r="O3415" s="126"/>
      <c r="P3415" s="135"/>
      <c r="Q3415" s="135"/>
    </row>
    <row r="3416" spans="11:17" ht="12.75">
      <c r="K3416" s="118"/>
      <c r="L3416" s="118"/>
      <c r="M3416" s="126"/>
      <c r="N3416" s="126"/>
      <c r="O3416" s="126"/>
      <c r="P3416" s="135"/>
      <c r="Q3416" s="135"/>
    </row>
    <row r="3417" spans="11:17" ht="12.75">
      <c r="K3417" s="118"/>
      <c r="L3417" s="118"/>
      <c r="M3417" s="126"/>
      <c r="N3417" s="126"/>
      <c r="O3417" s="126"/>
      <c r="P3417" s="135"/>
      <c r="Q3417" s="135"/>
    </row>
    <row r="3418" spans="11:17" ht="12.75">
      <c r="K3418" s="118"/>
      <c r="L3418" s="118"/>
      <c r="M3418" s="126"/>
      <c r="N3418" s="126"/>
      <c r="O3418" s="126"/>
      <c r="P3418" s="135"/>
      <c r="Q3418" s="135"/>
    </row>
    <row r="3419" spans="11:17" ht="12.75">
      <c r="K3419" s="118"/>
      <c r="L3419" s="118"/>
      <c r="M3419" s="126"/>
      <c r="N3419" s="126"/>
      <c r="O3419" s="126"/>
      <c r="P3419" s="135"/>
      <c r="Q3419" s="135"/>
    </row>
    <row r="3420" spans="11:17" ht="12.75">
      <c r="K3420" s="118"/>
      <c r="L3420" s="118"/>
      <c r="M3420" s="126"/>
      <c r="N3420" s="126"/>
      <c r="O3420" s="126"/>
      <c r="P3420" s="135"/>
      <c r="Q3420" s="135"/>
    </row>
    <row r="3421" spans="11:17" ht="12.75">
      <c r="K3421" s="118"/>
      <c r="L3421" s="118"/>
      <c r="M3421" s="126"/>
      <c r="N3421" s="126"/>
      <c r="O3421" s="126"/>
      <c r="P3421" s="135"/>
      <c r="Q3421" s="135"/>
    </row>
    <row r="3422" spans="11:17" ht="12.75">
      <c r="K3422" s="118"/>
      <c r="L3422" s="118"/>
      <c r="M3422" s="126"/>
      <c r="N3422" s="126"/>
      <c r="O3422" s="126"/>
      <c r="P3422" s="135"/>
      <c r="Q3422" s="135"/>
    </row>
    <row r="3423" spans="11:17" ht="12.75">
      <c r="K3423" s="118"/>
      <c r="L3423" s="118"/>
      <c r="M3423" s="126"/>
      <c r="N3423" s="126"/>
      <c r="O3423" s="126"/>
      <c r="P3423" s="135"/>
      <c r="Q3423" s="135"/>
    </row>
    <row r="3424" spans="11:17" ht="12.75">
      <c r="K3424" s="118"/>
      <c r="L3424" s="118"/>
      <c r="M3424" s="126"/>
      <c r="N3424" s="126"/>
      <c r="O3424" s="126"/>
      <c r="P3424" s="135"/>
      <c r="Q3424" s="135"/>
    </row>
    <row r="3425" spans="11:17" ht="12.75">
      <c r="K3425" s="118"/>
      <c r="L3425" s="118"/>
      <c r="M3425" s="126"/>
      <c r="N3425" s="126"/>
      <c r="O3425" s="126"/>
      <c r="P3425" s="135"/>
      <c r="Q3425" s="135"/>
    </row>
    <row r="3426" spans="11:17" ht="12.75">
      <c r="K3426" s="118"/>
      <c r="L3426" s="118"/>
      <c r="M3426" s="126"/>
      <c r="N3426" s="126"/>
      <c r="O3426" s="126"/>
      <c r="P3426" s="135"/>
      <c r="Q3426" s="135"/>
    </row>
    <row r="3427" spans="11:17" ht="12.75">
      <c r="K3427" s="118"/>
      <c r="L3427" s="118"/>
      <c r="M3427" s="126"/>
      <c r="N3427" s="126"/>
      <c r="O3427" s="126"/>
      <c r="P3427" s="135"/>
      <c r="Q3427" s="135"/>
    </row>
    <row r="3428" spans="11:17" ht="12.75">
      <c r="K3428" s="118"/>
      <c r="L3428" s="118"/>
      <c r="M3428" s="126"/>
      <c r="N3428" s="126"/>
      <c r="O3428" s="126"/>
      <c r="P3428" s="135"/>
      <c r="Q3428" s="135"/>
    </row>
    <row r="3429" spans="11:17" ht="12.75">
      <c r="K3429" s="118"/>
      <c r="L3429" s="118"/>
      <c r="M3429" s="126"/>
      <c r="N3429" s="126"/>
      <c r="O3429" s="126"/>
      <c r="P3429" s="135"/>
      <c r="Q3429" s="135"/>
    </row>
    <row r="3430" spans="11:17" ht="12.75">
      <c r="K3430" s="118"/>
      <c r="L3430" s="118"/>
      <c r="M3430" s="126"/>
      <c r="N3430" s="126"/>
      <c r="O3430" s="126"/>
      <c r="P3430" s="135"/>
      <c r="Q3430" s="135"/>
    </row>
    <row r="3431" spans="11:17" ht="12.75">
      <c r="K3431" s="118"/>
      <c r="L3431" s="118"/>
      <c r="M3431" s="126"/>
      <c r="N3431" s="126"/>
      <c r="O3431" s="126"/>
      <c r="P3431" s="135"/>
      <c r="Q3431" s="135"/>
    </row>
    <row r="3432" spans="11:17" ht="12.75">
      <c r="K3432" s="118"/>
      <c r="L3432" s="118"/>
      <c r="M3432" s="126"/>
      <c r="N3432" s="126"/>
      <c r="O3432" s="126"/>
      <c r="P3432" s="135"/>
      <c r="Q3432" s="135"/>
    </row>
    <row r="3433" spans="11:17" ht="12.75">
      <c r="K3433" s="118"/>
      <c r="L3433" s="118"/>
      <c r="M3433" s="126"/>
      <c r="N3433" s="126"/>
      <c r="O3433" s="126"/>
      <c r="P3433" s="135"/>
      <c r="Q3433" s="135"/>
    </row>
    <row r="3434" spans="11:17" ht="12.75">
      <c r="K3434" s="118"/>
      <c r="L3434" s="118"/>
      <c r="M3434" s="126"/>
      <c r="N3434" s="126"/>
      <c r="O3434" s="126"/>
      <c r="P3434" s="135"/>
      <c r="Q3434" s="135"/>
    </row>
    <row r="3435" spans="11:17" ht="12.75">
      <c r="K3435" s="118"/>
      <c r="L3435" s="118"/>
      <c r="M3435" s="126"/>
      <c r="N3435" s="126"/>
      <c r="O3435" s="126"/>
      <c r="P3435" s="135"/>
      <c r="Q3435" s="135"/>
    </row>
    <row r="3436" spans="11:17" ht="12.75">
      <c r="K3436" s="118"/>
      <c r="L3436" s="118"/>
      <c r="M3436" s="126"/>
      <c r="N3436" s="126"/>
      <c r="O3436" s="126"/>
      <c r="P3436" s="135"/>
      <c r="Q3436" s="135"/>
    </row>
    <row r="3437" spans="11:17" ht="12.75">
      <c r="K3437" s="118"/>
      <c r="L3437" s="118"/>
      <c r="M3437" s="126"/>
      <c r="N3437" s="126"/>
      <c r="O3437" s="126"/>
      <c r="P3437" s="135"/>
      <c r="Q3437" s="135"/>
    </row>
    <row r="3438" spans="11:17" ht="12.75">
      <c r="K3438" s="118"/>
      <c r="L3438" s="118"/>
      <c r="M3438" s="126"/>
      <c r="N3438" s="126"/>
      <c r="O3438" s="126"/>
      <c r="P3438" s="135"/>
      <c r="Q3438" s="135"/>
    </row>
    <row r="3439" spans="11:17" ht="12.75">
      <c r="K3439" s="118"/>
      <c r="L3439" s="118"/>
      <c r="M3439" s="126"/>
      <c r="N3439" s="126"/>
      <c r="O3439" s="126"/>
      <c r="P3439" s="135"/>
      <c r="Q3439" s="135"/>
    </row>
    <row r="3440" spans="11:17" ht="12.75">
      <c r="K3440" s="118"/>
      <c r="L3440" s="118"/>
      <c r="M3440" s="126"/>
      <c r="N3440" s="126"/>
      <c r="O3440" s="126"/>
      <c r="P3440" s="135"/>
      <c r="Q3440" s="135"/>
    </row>
    <row r="3441" spans="11:17" ht="12.75">
      <c r="K3441" s="118"/>
      <c r="L3441" s="118"/>
      <c r="M3441" s="126"/>
      <c r="N3441" s="126"/>
      <c r="O3441" s="126"/>
      <c r="P3441" s="135"/>
      <c r="Q3441" s="135"/>
    </row>
    <row r="3442" spans="11:17" ht="12.75">
      <c r="K3442" s="118"/>
      <c r="L3442" s="118"/>
      <c r="M3442" s="126"/>
      <c r="N3442" s="126"/>
      <c r="O3442" s="126"/>
      <c r="P3442" s="135"/>
      <c r="Q3442" s="135"/>
    </row>
    <row r="3443" spans="11:17" ht="12.75">
      <c r="K3443" s="118"/>
      <c r="L3443" s="118"/>
      <c r="M3443" s="126"/>
      <c r="N3443" s="126"/>
      <c r="O3443" s="126"/>
      <c r="P3443" s="135"/>
      <c r="Q3443" s="135"/>
    </row>
    <row r="3444" spans="11:17" ht="12.75">
      <c r="K3444" s="118"/>
      <c r="L3444" s="118"/>
      <c r="M3444" s="126"/>
      <c r="N3444" s="126"/>
      <c r="O3444" s="126"/>
      <c r="P3444" s="135"/>
      <c r="Q3444" s="135"/>
    </row>
    <row r="3445" spans="11:17" ht="12.75">
      <c r="K3445" s="118"/>
      <c r="L3445" s="118"/>
      <c r="M3445" s="126"/>
      <c r="N3445" s="126"/>
      <c r="O3445" s="126"/>
      <c r="P3445" s="135"/>
      <c r="Q3445" s="135"/>
    </row>
    <row r="3446" spans="11:17" ht="12.75">
      <c r="K3446" s="118"/>
      <c r="L3446" s="118"/>
      <c r="M3446" s="126"/>
      <c r="N3446" s="126"/>
      <c r="O3446" s="126"/>
      <c r="P3446" s="135"/>
      <c r="Q3446" s="135"/>
    </row>
    <row r="3447" spans="11:17" ht="12.75">
      <c r="K3447" s="118"/>
      <c r="L3447" s="118"/>
      <c r="M3447" s="126"/>
      <c r="N3447" s="126"/>
      <c r="O3447" s="126"/>
      <c r="P3447" s="135"/>
      <c r="Q3447" s="135"/>
    </row>
    <row r="3448" spans="11:17" ht="12.75">
      <c r="K3448" s="118"/>
      <c r="L3448" s="118"/>
      <c r="M3448" s="126"/>
      <c r="N3448" s="126"/>
      <c r="O3448" s="126"/>
      <c r="P3448" s="135"/>
      <c r="Q3448" s="135"/>
    </row>
    <row r="3449" spans="11:17" ht="12.75">
      <c r="K3449" s="118"/>
      <c r="L3449" s="118"/>
      <c r="M3449" s="126"/>
      <c r="N3449" s="126"/>
      <c r="O3449" s="126"/>
      <c r="P3449" s="135"/>
      <c r="Q3449" s="135"/>
    </row>
    <row r="3450" spans="11:17" ht="12.75">
      <c r="K3450" s="118"/>
      <c r="L3450" s="118"/>
      <c r="M3450" s="126"/>
      <c r="N3450" s="126"/>
      <c r="O3450" s="126"/>
      <c r="P3450" s="135"/>
      <c r="Q3450" s="135"/>
    </row>
    <row r="3451" spans="11:17" ht="12.75">
      <c r="K3451" s="118"/>
      <c r="L3451" s="118"/>
      <c r="M3451" s="126"/>
      <c r="N3451" s="126"/>
      <c r="O3451" s="126"/>
      <c r="P3451" s="135"/>
      <c r="Q3451" s="135"/>
    </row>
    <row r="3452" spans="11:17" ht="12.75">
      <c r="K3452" s="118"/>
      <c r="L3452" s="118"/>
      <c r="M3452" s="126"/>
      <c r="N3452" s="126"/>
      <c r="O3452" s="126"/>
      <c r="P3452" s="135"/>
      <c r="Q3452" s="135"/>
    </row>
    <row r="3453" spans="11:17" ht="12.75">
      <c r="K3453" s="118"/>
      <c r="L3453" s="118"/>
      <c r="M3453" s="126"/>
      <c r="N3453" s="126"/>
      <c r="O3453" s="126"/>
      <c r="P3453" s="135"/>
      <c r="Q3453" s="135"/>
    </row>
    <row r="3454" spans="11:17" ht="12.75">
      <c r="K3454" s="118"/>
      <c r="L3454" s="118"/>
      <c r="M3454" s="126"/>
      <c r="N3454" s="126"/>
      <c r="O3454" s="126"/>
      <c r="P3454" s="135"/>
      <c r="Q3454" s="135"/>
    </row>
    <row r="3455" spans="11:17" ht="12.75">
      <c r="K3455" s="118"/>
      <c r="L3455" s="118"/>
      <c r="M3455" s="126"/>
      <c r="N3455" s="126"/>
      <c r="O3455" s="126"/>
      <c r="P3455" s="135"/>
      <c r="Q3455" s="135"/>
    </row>
    <row r="3456" spans="11:17" ht="12.75">
      <c r="K3456" s="118"/>
      <c r="L3456" s="118"/>
      <c r="M3456" s="126"/>
      <c r="N3456" s="126"/>
      <c r="O3456" s="126"/>
      <c r="P3456" s="135"/>
      <c r="Q3456" s="135"/>
    </row>
    <row r="3457" spans="11:17" ht="12.75">
      <c r="K3457" s="118"/>
      <c r="L3457" s="118"/>
      <c r="M3457" s="126"/>
      <c r="N3457" s="126"/>
      <c r="O3457" s="126"/>
      <c r="P3457" s="135"/>
      <c r="Q3457" s="135"/>
    </row>
    <row r="3458" spans="11:17" ht="12.75">
      <c r="K3458" s="118"/>
      <c r="L3458" s="118"/>
      <c r="M3458" s="126"/>
      <c r="N3458" s="126"/>
      <c r="O3458" s="126"/>
      <c r="P3458" s="135"/>
      <c r="Q3458" s="135"/>
    </row>
    <row r="3459" spans="11:17" ht="12.75">
      <c r="K3459" s="118"/>
      <c r="L3459" s="118"/>
      <c r="M3459" s="126"/>
      <c r="N3459" s="126"/>
      <c r="O3459" s="126"/>
      <c r="P3459" s="135"/>
      <c r="Q3459" s="135"/>
    </row>
    <row r="3460" spans="11:17" ht="12.75">
      <c r="K3460" s="118"/>
      <c r="L3460" s="118"/>
      <c r="M3460" s="126"/>
      <c r="N3460" s="126"/>
      <c r="O3460" s="126"/>
      <c r="P3460" s="135"/>
      <c r="Q3460" s="135"/>
    </row>
    <row r="3461" spans="11:17" ht="12.75">
      <c r="K3461" s="118"/>
      <c r="L3461" s="118"/>
      <c r="M3461" s="126"/>
      <c r="N3461" s="126"/>
      <c r="O3461" s="126"/>
      <c r="P3461" s="135"/>
      <c r="Q3461" s="135"/>
    </row>
    <row r="3462" spans="11:17" ht="12.75">
      <c r="K3462" s="118"/>
      <c r="L3462" s="118"/>
      <c r="M3462" s="126"/>
      <c r="N3462" s="126"/>
      <c r="O3462" s="126"/>
      <c r="P3462" s="135"/>
      <c r="Q3462" s="135"/>
    </row>
    <row r="3463" spans="11:17" ht="12.75">
      <c r="K3463" s="118"/>
      <c r="L3463" s="118"/>
      <c r="M3463" s="126"/>
      <c r="N3463" s="126"/>
      <c r="O3463" s="126"/>
      <c r="P3463" s="135"/>
      <c r="Q3463" s="135"/>
    </row>
    <row r="3464" spans="11:17" ht="12.75">
      <c r="K3464" s="118"/>
      <c r="L3464" s="118"/>
      <c r="M3464" s="126"/>
      <c r="N3464" s="126"/>
      <c r="O3464" s="126"/>
      <c r="P3464" s="135"/>
      <c r="Q3464" s="135"/>
    </row>
    <row r="3465" spans="11:17" ht="12.75">
      <c r="K3465" s="118"/>
      <c r="L3465" s="118"/>
      <c r="M3465" s="126"/>
      <c r="N3465" s="126"/>
      <c r="O3465" s="126"/>
      <c r="P3465" s="135"/>
      <c r="Q3465" s="135"/>
    </row>
    <row r="3466" spans="11:17" ht="12.75">
      <c r="K3466" s="118"/>
      <c r="L3466" s="118"/>
      <c r="M3466" s="126"/>
      <c r="N3466" s="126"/>
      <c r="O3466" s="126"/>
      <c r="P3466" s="135"/>
      <c r="Q3466" s="135"/>
    </row>
    <row r="3467" spans="11:17" ht="12.75">
      <c r="K3467" s="118"/>
      <c r="L3467" s="118"/>
      <c r="M3467" s="126"/>
      <c r="N3467" s="126"/>
      <c r="O3467" s="126"/>
      <c r="P3467" s="135"/>
      <c r="Q3467" s="135"/>
    </row>
    <row r="3468" spans="11:17" ht="12.75">
      <c r="K3468" s="118"/>
      <c r="L3468" s="118"/>
      <c r="M3468" s="126"/>
      <c r="N3468" s="126"/>
      <c r="O3468" s="126"/>
      <c r="P3468" s="135"/>
      <c r="Q3468" s="135"/>
    </row>
    <row r="3469" spans="11:17" ht="12.75">
      <c r="K3469" s="118"/>
      <c r="L3469" s="118"/>
      <c r="M3469" s="126"/>
      <c r="N3469" s="126"/>
      <c r="O3469" s="126"/>
      <c r="P3469" s="135"/>
      <c r="Q3469" s="135"/>
    </row>
    <row r="3470" spans="11:17" ht="12.75">
      <c r="K3470" s="118"/>
      <c r="L3470" s="118"/>
      <c r="M3470" s="126"/>
      <c r="N3470" s="126"/>
      <c r="O3470" s="126"/>
      <c r="P3470" s="135"/>
      <c r="Q3470" s="135"/>
    </row>
    <row r="3471" spans="11:17" ht="12.75">
      <c r="K3471" s="118"/>
      <c r="L3471" s="118"/>
      <c r="M3471" s="126"/>
      <c r="N3471" s="126"/>
      <c r="O3471" s="126"/>
      <c r="P3471" s="135"/>
      <c r="Q3471" s="135"/>
    </row>
    <row r="3472" spans="11:17" ht="12.75">
      <c r="K3472" s="118"/>
      <c r="L3472" s="118"/>
      <c r="M3472" s="126"/>
      <c r="N3472" s="126"/>
      <c r="O3472" s="126"/>
      <c r="P3472" s="135"/>
      <c r="Q3472" s="135"/>
    </row>
    <row r="3473" spans="11:17" ht="12.75">
      <c r="K3473" s="118"/>
      <c r="L3473" s="118"/>
      <c r="M3473" s="126"/>
      <c r="N3473" s="126"/>
      <c r="O3473" s="126"/>
      <c r="P3473" s="135"/>
      <c r="Q3473" s="135"/>
    </row>
    <row r="3474" spans="11:17" ht="12.75">
      <c r="K3474" s="118"/>
      <c r="L3474" s="118"/>
      <c r="M3474" s="126"/>
      <c r="N3474" s="126"/>
      <c r="O3474" s="126"/>
      <c r="P3474" s="135"/>
      <c r="Q3474" s="135"/>
    </row>
    <row r="3475" spans="11:17" ht="12.75">
      <c r="K3475" s="118"/>
      <c r="L3475" s="118"/>
      <c r="M3475" s="126"/>
      <c r="N3475" s="126"/>
      <c r="O3475" s="126"/>
      <c r="P3475" s="135"/>
      <c r="Q3475" s="135"/>
    </row>
    <row r="3476" spans="11:17" ht="12.75">
      <c r="K3476" s="118"/>
      <c r="L3476" s="118"/>
      <c r="M3476" s="126"/>
      <c r="N3476" s="126"/>
      <c r="O3476" s="126"/>
      <c r="P3476" s="135"/>
      <c r="Q3476" s="135"/>
    </row>
    <row r="3477" spans="11:17" ht="12.75">
      <c r="K3477" s="118"/>
      <c r="L3477" s="118"/>
      <c r="M3477" s="126"/>
      <c r="N3477" s="126"/>
      <c r="O3477" s="126"/>
      <c r="P3477" s="135"/>
      <c r="Q3477" s="135"/>
    </row>
    <row r="3478" spans="11:17" ht="12.75">
      <c r="K3478" s="118"/>
      <c r="L3478" s="118"/>
      <c r="M3478" s="126"/>
      <c r="N3478" s="126"/>
      <c r="O3478" s="126"/>
      <c r="P3478" s="135"/>
      <c r="Q3478" s="135"/>
    </row>
    <row r="3479" spans="11:17" ht="12.75">
      <c r="K3479" s="118"/>
      <c r="L3479" s="118"/>
      <c r="M3479" s="126"/>
      <c r="N3479" s="126"/>
      <c r="O3479" s="126"/>
      <c r="P3479" s="135"/>
      <c r="Q3479" s="135"/>
    </row>
    <row r="3480" spans="11:17" ht="12.75">
      <c r="K3480" s="118"/>
      <c r="L3480" s="118"/>
      <c r="M3480" s="126"/>
      <c r="N3480" s="126"/>
      <c r="O3480" s="126"/>
      <c r="P3480" s="135"/>
      <c r="Q3480" s="135"/>
    </row>
    <row r="3481" spans="11:17" ht="12.75">
      <c r="K3481" s="118"/>
      <c r="L3481" s="118"/>
      <c r="M3481" s="126"/>
      <c r="N3481" s="126"/>
      <c r="O3481" s="126"/>
      <c r="P3481" s="135"/>
      <c r="Q3481" s="135"/>
    </row>
    <row r="3482" spans="11:17" ht="12.75">
      <c r="K3482" s="118"/>
      <c r="L3482" s="118"/>
      <c r="M3482" s="126"/>
      <c r="N3482" s="126"/>
      <c r="O3482" s="126"/>
      <c r="P3482" s="135"/>
      <c r="Q3482" s="135"/>
    </row>
    <row r="3483" spans="11:17" ht="12.75">
      <c r="K3483" s="118"/>
      <c r="L3483" s="118"/>
      <c r="M3483" s="126"/>
      <c r="N3483" s="126"/>
      <c r="O3483" s="126"/>
      <c r="P3483" s="135"/>
      <c r="Q3483" s="135"/>
    </row>
    <row r="3484" spans="11:17" ht="12.75">
      <c r="K3484" s="118"/>
      <c r="L3484" s="118"/>
      <c r="M3484" s="126"/>
      <c r="N3484" s="126"/>
      <c r="O3484" s="126"/>
      <c r="P3484" s="135"/>
      <c r="Q3484" s="135"/>
    </row>
    <row r="3485" spans="11:17" ht="12.75">
      <c r="K3485" s="118"/>
      <c r="L3485" s="118"/>
      <c r="M3485" s="126"/>
      <c r="N3485" s="126"/>
      <c r="O3485" s="126"/>
      <c r="P3485" s="135"/>
      <c r="Q3485" s="135"/>
    </row>
    <row r="3486" spans="11:17" ht="12.75">
      <c r="K3486" s="118"/>
      <c r="L3486" s="118"/>
      <c r="M3486" s="126"/>
      <c r="N3486" s="126"/>
      <c r="O3486" s="126"/>
      <c r="P3486" s="135"/>
      <c r="Q3486" s="135"/>
    </row>
    <row r="3487" spans="11:17" ht="12.75">
      <c r="K3487" s="118"/>
      <c r="L3487" s="118"/>
      <c r="M3487" s="126"/>
      <c r="N3487" s="126"/>
      <c r="O3487" s="126"/>
      <c r="P3487" s="135"/>
      <c r="Q3487" s="135"/>
    </row>
    <row r="3488" spans="11:17" ht="12.75">
      <c r="K3488" s="118"/>
      <c r="L3488" s="118"/>
      <c r="M3488" s="126"/>
      <c r="N3488" s="126"/>
      <c r="O3488" s="126"/>
      <c r="P3488" s="135"/>
      <c r="Q3488" s="135"/>
    </row>
    <row r="3489" spans="11:17" ht="12.75">
      <c r="K3489" s="118"/>
      <c r="L3489" s="118"/>
      <c r="M3489" s="126"/>
      <c r="N3489" s="126"/>
      <c r="O3489" s="126"/>
      <c r="P3489" s="135"/>
      <c r="Q3489" s="135"/>
    </row>
    <row r="3490" spans="11:17" ht="12.75">
      <c r="K3490" s="118"/>
      <c r="L3490" s="118"/>
      <c r="M3490" s="126"/>
      <c r="N3490" s="126"/>
      <c r="O3490" s="126"/>
      <c r="P3490" s="135"/>
      <c r="Q3490" s="135"/>
    </row>
    <row r="3491" spans="11:17" ht="12.75">
      <c r="K3491" s="118"/>
      <c r="L3491" s="118"/>
      <c r="M3491" s="126"/>
      <c r="N3491" s="126"/>
      <c r="O3491" s="126"/>
      <c r="P3491" s="135"/>
      <c r="Q3491" s="135"/>
    </row>
    <row r="3492" spans="11:17" ht="12.75">
      <c r="K3492" s="118"/>
      <c r="L3492" s="118"/>
      <c r="M3492" s="126"/>
      <c r="N3492" s="126"/>
      <c r="O3492" s="126"/>
      <c r="P3492" s="135"/>
      <c r="Q3492" s="135"/>
    </row>
    <row r="3493" spans="11:17" ht="12.75">
      <c r="K3493" s="118"/>
      <c r="L3493" s="118"/>
      <c r="M3493" s="126"/>
      <c r="N3493" s="126"/>
      <c r="O3493" s="126"/>
      <c r="P3493" s="135"/>
      <c r="Q3493" s="135"/>
    </row>
    <row r="3494" spans="11:17" ht="12.75">
      <c r="K3494" s="118"/>
      <c r="L3494" s="118"/>
      <c r="M3494" s="126"/>
      <c r="N3494" s="126"/>
      <c r="O3494" s="126"/>
      <c r="P3494" s="135"/>
      <c r="Q3494" s="135"/>
    </row>
    <row r="3495" spans="11:17" ht="12.75">
      <c r="K3495" s="118"/>
      <c r="L3495" s="118"/>
      <c r="M3495" s="126"/>
      <c r="N3495" s="126"/>
      <c r="O3495" s="126"/>
      <c r="P3495" s="135"/>
      <c r="Q3495" s="135"/>
    </row>
    <row r="3496" spans="11:17" ht="12.75">
      <c r="K3496" s="118"/>
      <c r="L3496" s="118"/>
      <c r="M3496" s="126"/>
      <c r="N3496" s="126"/>
      <c r="O3496" s="126"/>
      <c r="P3496" s="135"/>
      <c r="Q3496" s="135"/>
    </row>
    <row r="3497" spans="11:17" ht="12.75">
      <c r="K3497" s="118"/>
      <c r="L3497" s="118"/>
      <c r="M3497" s="126"/>
      <c r="N3497" s="126"/>
      <c r="O3497" s="126"/>
      <c r="P3497" s="135"/>
      <c r="Q3497" s="135"/>
    </row>
    <row r="3498" spans="11:17" ht="12.75">
      <c r="K3498" s="118"/>
      <c r="L3498" s="118"/>
      <c r="M3498" s="126"/>
      <c r="N3498" s="126"/>
      <c r="O3498" s="126"/>
      <c r="P3498" s="135"/>
      <c r="Q3498" s="135"/>
    </row>
    <row r="3499" spans="11:17" ht="12.75">
      <c r="K3499" s="118"/>
      <c r="L3499" s="118"/>
      <c r="M3499" s="126"/>
      <c r="N3499" s="126"/>
      <c r="O3499" s="126"/>
      <c r="P3499" s="135"/>
      <c r="Q3499" s="135"/>
    </row>
    <row r="3500" spans="11:17" ht="12.75">
      <c r="K3500" s="118"/>
      <c r="L3500" s="118"/>
      <c r="M3500" s="126"/>
      <c r="N3500" s="126"/>
      <c r="O3500" s="126"/>
      <c r="P3500" s="135"/>
      <c r="Q3500" s="135"/>
    </row>
    <row r="3501" spans="11:17" ht="12.75">
      <c r="K3501" s="118"/>
      <c r="L3501" s="118"/>
      <c r="M3501" s="126"/>
      <c r="N3501" s="126"/>
      <c r="O3501" s="126"/>
      <c r="P3501" s="135"/>
      <c r="Q3501" s="135"/>
    </row>
    <row r="3502" spans="11:17" ht="12.75">
      <c r="K3502" s="118"/>
      <c r="L3502" s="118"/>
      <c r="M3502" s="126"/>
      <c r="N3502" s="126"/>
      <c r="O3502" s="126"/>
      <c r="P3502" s="135"/>
      <c r="Q3502" s="135"/>
    </row>
    <row r="3503" spans="11:17" ht="12.75">
      <c r="K3503" s="118"/>
      <c r="L3503" s="118"/>
      <c r="M3503" s="126"/>
      <c r="N3503" s="126"/>
      <c r="O3503" s="126"/>
      <c r="P3503" s="135"/>
      <c r="Q3503" s="135"/>
    </row>
    <row r="3504" spans="11:17" ht="12.75">
      <c r="K3504" s="118"/>
      <c r="L3504" s="118"/>
      <c r="M3504" s="126"/>
      <c r="N3504" s="126"/>
      <c r="O3504" s="126"/>
      <c r="P3504" s="135"/>
      <c r="Q3504" s="135"/>
    </row>
    <row r="3505" spans="11:17" ht="12.75">
      <c r="K3505" s="118"/>
      <c r="L3505" s="118"/>
      <c r="M3505" s="126"/>
      <c r="N3505" s="126"/>
      <c r="O3505" s="126"/>
      <c r="P3505" s="135"/>
      <c r="Q3505" s="135"/>
    </row>
    <row r="3506" spans="11:17" ht="12.75">
      <c r="K3506" s="118"/>
      <c r="L3506" s="118"/>
      <c r="M3506" s="126"/>
      <c r="N3506" s="126"/>
      <c r="O3506" s="126"/>
      <c r="P3506" s="135"/>
      <c r="Q3506" s="135"/>
    </row>
    <row r="3507" spans="11:17" ht="12.75">
      <c r="K3507" s="118"/>
      <c r="L3507" s="118"/>
      <c r="M3507" s="126"/>
      <c r="N3507" s="126"/>
      <c r="O3507" s="126"/>
      <c r="P3507" s="135"/>
      <c r="Q3507" s="135"/>
    </row>
    <row r="3508" spans="11:17" ht="12.75">
      <c r="K3508" s="118"/>
      <c r="L3508" s="118"/>
      <c r="M3508" s="126"/>
      <c r="N3508" s="126"/>
      <c r="O3508" s="126"/>
      <c r="P3508" s="135"/>
      <c r="Q3508" s="135"/>
    </row>
    <row r="3509" spans="11:17" ht="12.75">
      <c r="K3509" s="118"/>
      <c r="L3509" s="118"/>
      <c r="M3509" s="126"/>
      <c r="N3509" s="126"/>
      <c r="O3509" s="126"/>
      <c r="P3509" s="135"/>
      <c r="Q3509" s="135"/>
    </row>
    <row r="3510" spans="11:17" ht="12.75">
      <c r="K3510" s="118"/>
      <c r="L3510" s="118"/>
      <c r="M3510" s="126"/>
      <c r="N3510" s="126"/>
      <c r="O3510" s="126"/>
      <c r="P3510" s="135"/>
      <c r="Q3510" s="135"/>
    </row>
    <row r="3511" spans="11:17" ht="12.75">
      <c r="K3511" s="118"/>
      <c r="L3511" s="118"/>
      <c r="M3511" s="126"/>
      <c r="N3511" s="126"/>
      <c r="O3511" s="126"/>
      <c r="P3511" s="135"/>
      <c r="Q3511" s="135"/>
    </row>
    <row r="3512" spans="11:17" ht="12.75">
      <c r="K3512" s="118"/>
      <c r="L3512" s="118"/>
      <c r="M3512" s="126"/>
      <c r="N3512" s="126"/>
      <c r="O3512" s="126"/>
      <c r="P3512" s="135"/>
      <c r="Q3512" s="135"/>
    </row>
    <row r="3513" spans="11:17" ht="12.75">
      <c r="K3513" s="118"/>
      <c r="L3513" s="118"/>
      <c r="M3513" s="126"/>
      <c r="N3513" s="126"/>
      <c r="O3513" s="126"/>
      <c r="P3513" s="135"/>
      <c r="Q3513" s="135"/>
    </row>
    <row r="3514" spans="11:17" ht="12.75">
      <c r="K3514" s="118"/>
      <c r="L3514" s="118"/>
      <c r="M3514" s="126"/>
      <c r="N3514" s="126"/>
      <c r="O3514" s="126"/>
      <c r="P3514" s="135"/>
      <c r="Q3514" s="135"/>
    </row>
    <row r="3515" spans="11:17" ht="12.75">
      <c r="K3515" s="118"/>
      <c r="L3515" s="118"/>
      <c r="M3515" s="126"/>
      <c r="N3515" s="126"/>
      <c r="O3515" s="126"/>
      <c r="P3515" s="135"/>
      <c r="Q3515" s="135"/>
    </row>
    <row r="3516" spans="11:17" ht="12.75">
      <c r="K3516" s="118"/>
      <c r="L3516" s="118"/>
      <c r="M3516" s="126"/>
      <c r="N3516" s="126"/>
      <c r="O3516" s="126"/>
      <c r="P3516" s="135"/>
      <c r="Q3516" s="135"/>
    </row>
    <row r="3517" spans="11:17" ht="12.75">
      <c r="K3517" s="118"/>
      <c r="L3517" s="118"/>
      <c r="M3517" s="126"/>
      <c r="N3517" s="126"/>
      <c r="O3517" s="126"/>
      <c r="P3517" s="135"/>
      <c r="Q3517" s="135"/>
    </row>
    <row r="3518" spans="11:17" ht="12.75">
      <c r="K3518" s="118"/>
      <c r="L3518" s="118"/>
      <c r="M3518" s="126"/>
      <c r="N3518" s="126"/>
      <c r="O3518" s="126"/>
      <c r="P3518" s="135"/>
      <c r="Q3518" s="135"/>
    </row>
    <row r="3519" spans="11:17" ht="12.75">
      <c r="K3519" s="118"/>
      <c r="L3519" s="118"/>
      <c r="M3519" s="126"/>
      <c r="N3519" s="126"/>
      <c r="O3519" s="126"/>
      <c r="P3519" s="135"/>
      <c r="Q3519" s="135"/>
    </row>
    <row r="3520" spans="11:17" ht="12.75">
      <c r="K3520" s="118"/>
      <c r="L3520" s="118"/>
      <c r="M3520" s="126"/>
      <c r="N3520" s="126"/>
      <c r="O3520" s="126"/>
      <c r="P3520" s="135"/>
      <c r="Q3520" s="135"/>
    </row>
    <row r="3521" spans="11:17" ht="12.75">
      <c r="K3521" s="118"/>
      <c r="L3521" s="118"/>
      <c r="M3521" s="126"/>
      <c r="N3521" s="126"/>
      <c r="O3521" s="126"/>
      <c r="P3521" s="135"/>
      <c r="Q3521" s="135"/>
    </row>
    <row r="3522" spans="11:17" ht="12.75">
      <c r="K3522" s="118"/>
      <c r="L3522" s="118"/>
      <c r="M3522" s="126"/>
      <c r="N3522" s="126"/>
      <c r="O3522" s="126"/>
      <c r="P3522" s="135"/>
      <c r="Q3522" s="135"/>
    </row>
    <row r="3523" spans="11:17" ht="12.75">
      <c r="K3523" s="118"/>
      <c r="L3523" s="118"/>
      <c r="M3523" s="126"/>
      <c r="N3523" s="126"/>
      <c r="O3523" s="126"/>
      <c r="P3523" s="135"/>
      <c r="Q3523" s="135"/>
    </row>
    <row r="3524" spans="11:17" ht="12.75">
      <c r="K3524" s="118"/>
      <c r="L3524" s="118"/>
      <c r="M3524" s="126"/>
      <c r="N3524" s="126"/>
      <c r="O3524" s="126"/>
      <c r="P3524" s="135"/>
      <c r="Q3524" s="135"/>
    </row>
    <row r="3525" spans="11:17" ht="12.75">
      <c r="K3525" s="118"/>
      <c r="L3525" s="118"/>
      <c r="M3525" s="126"/>
      <c r="N3525" s="126"/>
      <c r="O3525" s="126"/>
      <c r="P3525" s="135"/>
      <c r="Q3525" s="135"/>
    </row>
    <row r="3526" spans="11:17" ht="12.75">
      <c r="K3526" s="118"/>
      <c r="L3526" s="118"/>
      <c r="M3526" s="126"/>
      <c r="N3526" s="126"/>
      <c r="O3526" s="126"/>
      <c r="P3526" s="135"/>
      <c r="Q3526" s="135"/>
    </row>
    <row r="3527" spans="11:17" ht="12.75">
      <c r="K3527" s="118"/>
      <c r="L3527" s="118"/>
      <c r="M3527" s="126"/>
      <c r="N3527" s="126"/>
      <c r="O3527" s="126"/>
      <c r="P3527" s="135"/>
      <c r="Q3527" s="135"/>
    </row>
    <row r="3528" spans="11:17" ht="12.75">
      <c r="K3528" s="118"/>
      <c r="L3528" s="118"/>
      <c r="M3528" s="126"/>
      <c r="N3528" s="126"/>
      <c r="O3528" s="126"/>
      <c r="P3528" s="135"/>
      <c r="Q3528" s="135"/>
    </row>
    <row r="3529" spans="11:17" ht="12.75">
      <c r="K3529" s="118"/>
      <c r="L3529" s="118"/>
      <c r="M3529" s="126"/>
      <c r="N3529" s="126"/>
      <c r="O3529" s="126"/>
      <c r="P3529" s="135"/>
      <c r="Q3529" s="135"/>
    </row>
    <row r="3530" spans="11:17" ht="12.75">
      <c r="K3530" s="118"/>
      <c r="L3530" s="118"/>
      <c r="M3530" s="126"/>
      <c r="N3530" s="126"/>
      <c r="O3530" s="126"/>
      <c r="P3530" s="135"/>
      <c r="Q3530" s="135"/>
    </row>
    <row r="3531" spans="11:17" ht="12.75">
      <c r="K3531" s="118"/>
      <c r="L3531" s="118"/>
      <c r="M3531" s="126"/>
      <c r="N3531" s="126"/>
      <c r="O3531" s="126"/>
      <c r="P3531" s="135"/>
      <c r="Q3531" s="135"/>
    </row>
    <row r="3532" spans="11:17" ht="12.75">
      <c r="K3532" s="118"/>
      <c r="L3532" s="118"/>
      <c r="M3532" s="126"/>
      <c r="N3532" s="126"/>
      <c r="O3532" s="126"/>
      <c r="P3532" s="135"/>
      <c r="Q3532" s="135"/>
    </row>
    <row r="3533" spans="11:17" ht="12.75">
      <c r="K3533" s="118"/>
      <c r="L3533" s="118"/>
      <c r="M3533" s="126"/>
      <c r="N3533" s="126"/>
      <c r="O3533" s="126"/>
      <c r="P3533" s="135"/>
      <c r="Q3533" s="135"/>
    </row>
    <row r="3534" spans="11:17" ht="12.75">
      <c r="K3534" s="118"/>
      <c r="L3534" s="118"/>
      <c r="M3534" s="126"/>
      <c r="N3534" s="126"/>
      <c r="O3534" s="126"/>
      <c r="P3534" s="135"/>
      <c r="Q3534" s="135"/>
    </row>
    <row r="3535" spans="11:17" ht="12.75">
      <c r="K3535" s="118"/>
      <c r="L3535" s="118"/>
      <c r="M3535" s="126"/>
      <c r="N3535" s="126"/>
      <c r="O3535" s="126"/>
      <c r="P3535" s="135"/>
      <c r="Q3535" s="135"/>
    </row>
    <row r="3536" spans="11:17" ht="12.75">
      <c r="K3536" s="118"/>
      <c r="L3536" s="118"/>
      <c r="M3536" s="126"/>
      <c r="N3536" s="126"/>
      <c r="O3536" s="126"/>
      <c r="P3536" s="135"/>
      <c r="Q3536" s="135"/>
    </row>
    <row r="3537" spans="11:17" ht="12.75">
      <c r="K3537" s="118"/>
      <c r="L3537" s="118"/>
      <c r="M3537" s="126"/>
      <c r="N3537" s="126"/>
      <c r="O3537" s="126"/>
      <c r="P3537" s="135"/>
      <c r="Q3537" s="135"/>
    </row>
    <row r="3538" spans="11:17" ht="12.75">
      <c r="K3538" s="118"/>
      <c r="L3538" s="118"/>
      <c r="M3538" s="126"/>
      <c r="N3538" s="126"/>
      <c r="O3538" s="126"/>
      <c r="P3538" s="135"/>
      <c r="Q3538" s="135"/>
    </row>
    <row r="3539" spans="11:17" ht="12.75">
      <c r="K3539" s="118"/>
      <c r="L3539" s="118"/>
      <c r="M3539" s="126"/>
      <c r="N3539" s="126"/>
      <c r="O3539" s="126"/>
      <c r="P3539" s="135"/>
      <c r="Q3539" s="135"/>
    </row>
    <row r="3540" spans="11:17" ht="12.75">
      <c r="K3540" s="118"/>
      <c r="L3540" s="118"/>
      <c r="M3540" s="126"/>
      <c r="N3540" s="126"/>
      <c r="O3540" s="126"/>
      <c r="P3540" s="135"/>
      <c r="Q3540" s="135"/>
    </row>
    <row r="3541" spans="11:17" ht="12.75">
      <c r="K3541" s="118"/>
      <c r="L3541" s="118"/>
      <c r="M3541" s="126"/>
      <c r="N3541" s="126"/>
      <c r="O3541" s="126"/>
      <c r="P3541" s="135"/>
      <c r="Q3541" s="135"/>
    </row>
    <row r="3542" spans="11:17" ht="12.75">
      <c r="K3542" s="118"/>
      <c r="L3542" s="118"/>
      <c r="M3542" s="126"/>
      <c r="N3542" s="126"/>
      <c r="O3542" s="126"/>
      <c r="P3542" s="135"/>
      <c r="Q3542" s="135"/>
    </row>
    <row r="3543" spans="11:17" ht="12.75">
      <c r="K3543" s="118"/>
      <c r="L3543" s="118"/>
      <c r="M3543" s="126"/>
      <c r="N3543" s="126"/>
      <c r="O3543" s="126"/>
      <c r="P3543" s="135"/>
      <c r="Q3543" s="135"/>
    </row>
    <row r="3544" spans="11:17" ht="12.75">
      <c r="K3544" s="118"/>
      <c r="L3544" s="118"/>
      <c r="M3544" s="126"/>
      <c r="N3544" s="126"/>
      <c r="O3544" s="126"/>
      <c r="P3544" s="135"/>
      <c r="Q3544" s="135"/>
    </row>
    <row r="3545" spans="11:17" ht="12.75">
      <c r="K3545" s="118"/>
      <c r="L3545" s="118"/>
      <c r="M3545" s="126"/>
      <c r="N3545" s="126"/>
      <c r="O3545" s="126"/>
      <c r="P3545" s="135"/>
      <c r="Q3545" s="135"/>
    </row>
    <row r="3546" spans="11:17" ht="12.75">
      <c r="K3546" s="118"/>
      <c r="L3546" s="118"/>
      <c r="M3546" s="126"/>
      <c r="N3546" s="126"/>
      <c r="O3546" s="126"/>
      <c r="P3546" s="135"/>
      <c r="Q3546" s="135"/>
    </row>
    <row r="3547" spans="11:17" ht="12.75">
      <c r="K3547" s="118"/>
      <c r="L3547" s="118"/>
      <c r="M3547" s="126"/>
      <c r="N3547" s="126"/>
      <c r="O3547" s="126"/>
      <c r="P3547" s="135"/>
      <c r="Q3547" s="135"/>
    </row>
    <row r="3548" spans="11:17" ht="12.75">
      <c r="K3548" s="118"/>
      <c r="L3548" s="118"/>
      <c r="M3548" s="126"/>
      <c r="N3548" s="126"/>
      <c r="O3548" s="126"/>
      <c r="P3548" s="135"/>
      <c r="Q3548" s="135"/>
    </row>
    <row r="3549" spans="11:17" ht="12.75">
      <c r="K3549" s="118"/>
      <c r="L3549" s="118"/>
      <c r="M3549" s="126"/>
      <c r="N3549" s="126"/>
      <c r="O3549" s="126"/>
      <c r="P3549" s="135"/>
      <c r="Q3549" s="135"/>
    </row>
    <row r="3550" spans="11:17" ht="12.75">
      <c r="K3550" s="118"/>
      <c r="L3550" s="118"/>
      <c r="M3550" s="126"/>
      <c r="N3550" s="126"/>
      <c r="O3550" s="126"/>
      <c r="P3550" s="135"/>
      <c r="Q3550" s="135"/>
    </row>
    <row r="3551" spans="11:17" ht="12.75">
      <c r="K3551" s="118"/>
      <c r="L3551" s="118"/>
      <c r="M3551" s="126"/>
      <c r="N3551" s="126"/>
      <c r="O3551" s="126"/>
      <c r="P3551" s="135"/>
      <c r="Q3551" s="135"/>
    </row>
    <row r="3552" spans="11:17" ht="12.75">
      <c r="K3552" s="118"/>
      <c r="L3552" s="118"/>
      <c r="M3552" s="126"/>
      <c r="N3552" s="126"/>
      <c r="O3552" s="126"/>
      <c r="P3552" s="135"/>
      <c r="Q3552" s="135"/>
    </row>
    <row r="3553" spans="11:17" ht="12.75">
      <c r="K3553" s="118"/>
      <c r="L3553" s="118"/>
      <c r="M3553" s="126"/>
      <c r="N3553" s="126"/>
      <c r="O3553" s="126"/>
      <c r="P3553" s="135"/>
      <c r="Q3553" s="135"/>
    </row>
    <row r="3554" spans="11:17" ht="12.75">
      <c r="K3554" s="118"/>
      <c r="L3554" s="118"/>
      <c r="M3554" s="126"/>
      <c r="N3554" s="126"/>
      <c r="O3554" s="126"/>
      <c r="P3554" s="135"/>
      <c r="Q3554" s="135"/>
    </row>
    <row r="3555" spans="11:17" ht="12.75">
      <c r="K3555" s="118"/>
      <c r="L3555" s="118"/>
      <c r="M3555" s="126"/>
      <c r="N3555" s="126"/>
      <c r="O3555" s="126"/>
      <c r="P3555" s="135"/>
      <c r="Q3555" s="135"/>
    </row>
    <row r="3556" spans="11:17" ht="12.75">
      <c r="K3556" s="118"/>
      <c r="L3556" s="118"/>
      <c r="M3556" s="126"/>
      <c r="N3556" s="126"/>
      <c r="O3556" s="126"/>
      <c r="P3556" s="135"/>
      <c r="Q3556" s="135"/>
    </row>
    <row r="3557" spans="11:17" ht="12.75">
      <c r="K3557" s="118"/>
      <c r="L3557" s="118"/>
      <c r="M3557" s="126"/>
      <c r="N3557" s="126"/>
      <c r="O3557" s="126"/>
      <c r="P3557" s="135"/>
      <c r="Q3557" s="135"/>
    </row>
    <row r="3558" spans="11:17" ht="12.75">
      <c r="K3558" s="118"/>
      <c r="L3558" s="118"/>
      <c r="M3558" s="126"/>
      <c r="N3558" s="126"/>
      <c r="O3558" s="126"/>
      <c r="P3558" s="135"/>
      <c r="Q3558" s="135"/>
    </row>
    <row r="3559" spans="11:17" ht="12.75">
      <c r="K3559" s="118"/>
      <c r="L3559" s="118"/>
      <c r="M3559" s="126"/>
      <c r="N3559" s="126"/>
      <c r="O3559" s="126"/>
      <c r="P3559" s="135"/>
      <c r="Q3559" s="135"/>
    </row>
    <row r="3560" spans="11:17" ht="12.75">
      <c r="K3560" s="118"/>
      <c r="L3560" s="118"/>
      <c r="M3560" s="126"/>
      <c r="N3560" s="126"/>
      <c r="O3560" s="126"/>
      <c r="P3560" s="135"/>
      <c r="Q3560" s="135"/>
    </row>
    <row r="3561" spans="11:17" ht="12.75">
      <c r="K3561" s="118"/>
      <c r="L3561" s="118"/>
      <c r="M3561" s="126"/>
      <c r="N3561" s="126"/>
      <c r="O3561" s="126"/>
      <c r="P3561" s="135"/>
      <c r="Q3561" s="135"/>
    </row>
    <row r="3562" spans="11:17" ht="12.75">
      <c r="K3562" s="118"/>
      <c r="L3562" s="118"/>
      <c r="M3562" s="126"/>
      <c r="N3562" s="126"/>
      <c r="O3562" s="126"/>
      <c r="P3562" s="135"/>
      <c r="Q3562" s="135"/>
    </row>
    <row r="3563" spans="11:17" ht="12.75">
      <c r="K3563" s="118"/>
      <c r="L3563" s="118"/>
      <c r="M3563" s="126"/>
      <c r="N3563" s="126"/>
      <c r="O3563" s="126"/>
      <c r="P3563" s="135"/>
      <c r="Q3563" s="135"/>
    </row>
    <row r="3564" spans="11:17" ht="12.75">
      <c r="K3564" s="118"/>
      <c r="L3564" s="118"/>
      <c r="M3564" s="126"/>
      <c r="N3564" s="126"/>
      <c r="O3564" s="126"/>
      <c r="P3564" s="135"/>
      <c r="Q3564" s="135"/>
    </row>
    <row r="3565" spans="11:17" ht="12.75">
      <c r="K3565" s="118"/>
      <c r="L3565" s="118"/>
      <c r="M3565" s="126"/>
      <c r="N3565" s="126"/>
      <c r="O3565" s="126"/>
      <c r="P3565" s="135"/>
      <c r="Q3565" s="135"/>
    </row>
    <row r="3566" spans="11:17" ht="12.75">
      <c r="K3566" s="118"/>
      <c r="L3566" s="118"/>
      <c r="M3566" s="126"/>
      <c r="N3566" s="126"/>
      <c r="O3566" s="126"/>
      <c r="P3566" s="135"/>
      <c r="Q3566" s="135"/>
    </row>
    <row r="3567" spans="11:17" ht="12.75">
      <c r="K3567" s="118"/>
      <c r="L3567" s="118"/>
      <c r="M3567" s="126"/>
      <c r="N3567" s="126"/>
      <c r="O3567" s="126"/>
      <c r="P3567" s="135"/>
      <c r="Q3567" s="135"/>
    </row>
    <row r="3568" spans="11:17" ht="12.75">
      <c r="K3568" s="118"/>
      <c r="L3568" s="118"/>
      <c r="M3568" s="126"/>
      <c r="N3568" s="126"/>
      <c r="O3568" s="126"/>
      <c r="P3568" s="135"/>
      <c r="Q3568" s="135"/>
    </row>
    <row r="3569" spans="11:17" ht="12.75">
      <c r="K3569" s="118"/>
      <c r="L3569" s="118"/>
      <c r="M3569" s="126"/>
      <c r="N3569" s="126"/>
      <c r="O3569" s="126"/>
      <c r="P3569" s="135"/>
      <c r="Q3569" s="135"/>
    </row>
    <row r="3570" spans="11:17" ht="12.75">
      <c r="K3570" s="118"/>
      <c r="L3570" s="118"/>
      <c r="M3570" s="126"/>
      <c r="N3570" s="126"/>
      <c r="O3570" s="126"/>
      <c r="P3570" s="135"/>
      <c r="Q3570" s="135"/>
    </row>
    <row r="3571" spans="11:17" ht="12.75">
      <c r="K3571" s="118"/>
      <c r="L3571" s="118"/>
      <c r="M3571" s="126"/>
      <c r="N3571" s="126"/>
      <c r="O3571" s="126"/>
      <c r="P3571" s="135"/>
      <c r="Q3571" s="135"/>
    </row>
    <row r="3572" spans="11:17" ht="12.75">
      <c r="K3572" s="118"/>
      <c r="L3572" s="118"/>
      <c r="M3572" s="126"/>
      <c r="N3572" s="126"/>
      <c r="O3572" s="126"/>
      <c r="P3572" s="135"/>
      <c r="Q3572" s="135"/>
    </row>
    <row r="3573" spans="11:17" ht="12.75">
      <c r="K3573" s="118"/>
      <c r="L3573" s="118"/>
      <c r="M3573" s="126"/>
      <c r="N3573" s="126"/>
      <c r="O3573" s="126"/>
      <c r="P3573" s="135"/>
      <c r="Q3573" s="135"/>
    </row>
    <row r="3574" spans="11:17" ht="12.75">
      <c r="K3574" s="118"/>
      <c r="L3574" s="118"/>
      <c r="M3574" s="126"/>
      <c r="N3574" s="126"/>
      <c r="O3574" s="126"/>
      <c r="P3574" s="135"/>
      <c r="Q3574" s="135"/>
    </row>
    <row r="3575" spans="11:17" ht="12.75">
      <c r="K3575" s="118"/>
      <c r="L3575" s="118"/>
      <c r="M3575" s="126"/>
      <c r="N3575" s="126"/>
      <c r="O3575" s="126"/>
      <c r="P3575" s="135"/>
      <c r="Q3575" s="135"/>
    </row>
    <row r="3576" spans="11:17" ht="12.75">
      <c r="K3576" s="118"/>
      <c r="L3576" s="118"/>
      <c r="M3576" s="126"/>
      <c r="N3576" s="126"/>
      <c r="O3576" s="126"/>
      <c r="P3576" s="135"/>
      <c r="Q3576" s="135"/>
    </row>
    <row r="3577" spans="11:17" ht="12.75">
      <c r="K3577" s="118"/>
      <c r="L3577" s="118"/>
      <c r="M3577" s="126"/>
      <c r="N3577" s="126"/>
      <c r="O3577" s="126"/>
      <c r="P3577" s="135"/>
      <c r="Q3577" s="135"/>
    </row>
    <row r="3578" spans="11:17" ht="12.75">
      <c r="K3578" s="118"/>
      <c r="L3578" s="118"/>
      <c r="M3578" s="126"/>
      <c r="N3578" s="126"/>
      <c r="O3578" s="126"/>
      <c r="P3578" s="135"/>
      <c r="Q3578" s="135"/>
    </row>
    <row r="3579" spans="11:17" ht="12.75">
      <c r="K3579" s="118"/>
      <c r="L3579" s="118"/>
      <c r="M3579" s="126"/>
      <c r="N3579" s="126"/>
      <c r="O3579" s="126"/>
      <c r="P3579" s="135"/>
      <c r="Q3579" s="135"/>
    </row>
    <row r="3580" spans="11:17" ht="12.75">
      <c r="K3580" s="118"/>
      <c r="L3580" s="118"/>
      <c r="M3580" s="126"/>
      <c r="N3580" s="126"/>
      <c r="O3580" s="126"/>
      <c r="P3580" s="135"/>
      <c r="Q3580" s="135"/>
    </row>
    <row r="3581" spans="11:17" ht="12.75">
      <c r="K3581" s="118"/>
      <c r="L3581" s="118"/>
      <c r="M3581" s="126"/>
      <c r="N3581" s="126"/>
      <c r="O3581" s="126"/>
      <c r="P3581" s="135"/>
      <c r="Q3581" s="135"/>
    </row>
    <row r="3582" spans="11:17" ht="12.75">
      <c r="K3582" s="118"/>
      <c r="L3582" s="118"/>
      <c r="M3582" s="126"/>
      <c r="N3582" s="126"/>
      <c r="O3582" s="126"/>
      <c r="P3582" s="135"/>
      <c r="Q3582" s="135"/>
    </row>
    <row r="3583" spans="11:17" ht="12.75">
      <c r="K3583" s="118"/>
      <c r="L3583" s="118"/>
      <c r="M3583" s="126"/>
      <c r="N3583" s="126"/>
      <c r="O3583" s="126"/>
      <c r="P3583" s="135"/>
      <c r="Q3583" s="135"/>
    </row>
    <row r="3584" spans="11:17" ht="12.75">
      <c r="K3584" s="118"/>
      <c r="L3584" s="118"/>
      <c r="M3584" s="126"/>
      <c r="N3584" s="126"/>
      <c r="O3584" s="126"/>
      <c r="P3584" s="135"/>
      <c r="Q3584" s="135"/>
    </row>
    <row r="3585" spans="11:17" ht="12.75">
      <c r="K3585" s="118"/>
      <c r="L3585" s="118"/>
      <c r="M3585" s="126"/>
      <c r="N3585" s="126"/>
      <c r="O3585" s="126"/>
      <c r="P3585" s="135"/>
      <c r="Q3585" s="135"/>
    </row>
    <row r="3586" spans="11:17" ht="12.75">
      <c r="K3586" s="118"/>
      <c r="L3586" s="118"/>
      <c r="M3586" s="126"/>
      <c r="N3586" s="126"/>
      <c r="O3586" s="126"/>
      <c r="P3586" s="126"/>
      <c r="Q3586" s="126"/>
    </row>
    <row r="3587" spans="11:17" ht="12.75">
      <c r="K3587" s="118"/>
      <c r="L3587" s="118"/>
      <c r="M3587" s="126"/>
      <c r="N3587" s="126"/>
      <c r="O3587" s="126"/>
      <c r="P3587" s="126"/>
      <c r="Q3587" s="126"/>
    </row>
    <row r="3588" spans="11:17" ht="12.75">
      <c r="K3588" s="118"/>
      <c r="L3588" s="118"/>
      <c r="M3588" s="126"/>
      <c r="N3588" s="126"/>
      <c r="O3588" s="126"/>
      <c r="P3588" s="126"/>
      <c r="Q3588" s="126"/>
    </row>
    <row r="3589" spans="11:17" ht="12.75">
      <c r="K3589" s="118"/>
      <c r="L3589" s="118"/>
      <c r="M3589" s="126"/>
      <c r="N3589" s="126"/>
      <c r="O3589" s="126"/>
      <c r="P3589" s="126"/>
      <c r="Q3589" s="126"/>
    </row>
    <row r="3590" spans="11:17" ht="12.75">
      <c r="K3590" s="118"/>
      <c r="L3590" s="118"/>
      <c r="M3590" s="126"/>
      <c r="N3590" s="126"/>
      <c r="O3590" s="126"/>
      <c r="P3590" s="126"/>
      <c r="Q3590" s="126"/>
    </row>
    <row r="3591" spans="11:17" ht="12.75">
      <c r="K3591" s="118"/>
      <c r="L3591" s="118"/>
      <c r="M3591" s="126"/>
      <c r="N3591" s="126"/>
      <c r="O3591" s="126"/>
      <c r="P3591" s="126"/>
      <c r="Q3591" s="126"/>
    </row>
    <row r="3592" spans="11:17" ht="12.75">
      <c r="K3592" s="118"/>
      <c r="L3592" s="118"/>
      <c r="M3592" s="126"/>
      <c r="N3592" s="126"/>
      <c r="O3592" s="126"/>
      <c r="P3592" s="126"/>
      <c r="Q3592" s="126"/>
    </row>
    <row r="3593" spans="11:17" ht="12.75">
      <c r="K3593" s="118"/>
      <c r="L3593" s="118"/>
      <c r="M3593" s="126"/>
      <c r="N3593" s="126"/>
      <c r="O3593" s="126"/>
      <c r="P3593" s="126"/>
      <c r="Q3593" s="126"/>
    </row>
    <row r="3594" spans="11:17" ht="12.75">
      <c r="K3594" s="118"/>
      <c r="L3594" s="118"/>
      <c r="M3594" s="126"/>
      <c r="N3594" s="126"/>
      <c r="O3594" s="126"/>
      <c r="P3594" s="126"/>
      <c r="Q3594" s="126"/>
    </row>
    <row r="3595" spans="11:17" ht="12.75">
      <c r="K3595" s="118"/>
      <c r="L3595" s="118"/>
      <c r="M3595" s="126"/>
      <c r="N3595" s="126"/>
      <c r="O3595" s="126"/>
      <c r="P3595" s="126"/>
      <c r="Q3595" s="126"/>
    </row>
    <row r="3596" spans="11:17" ht="12.75">
      <c r="K3596" s="118"/>
      <c r="L3596" s="118"/>
      <c r="M3596" s="126"/>
      <c r="N3596" s="126"/>
      <c r="O3596" s="126"/>
      <c r="P3596" s="126"/>
      <c r="Q3596" s="126"/>
    </row>
    <row r="3597" spans="11:17" ht="12.75">
      <c r="K3597" s="118"/>
      <c r="L3597" s="118"/>
      <c r="M3597" s="126"/>
      <c r="N3597" s="126"/>
      <c r="O3597" s="126"/>
      <c r="P3597" s="126"/>
      <c r="Q3597" s="126"/>
    </row>
    <row r="3598" spans="11:17" ht="12.75">
      <c r="K3598" s="118"/>
      <c r="L3598" s="118"/>
      <c r="M3598" s="126"/>
      <c r="N3598" s="126"/>
      <c r="O3598" s="126"/>
      <c r="P3598" s="126"/>
      <c r="Q3598" s="126"/>
    </row>
    <row r="3599" spans="11:17" ht="12.75">
      <c r="K3599" s="118"/>
      <c r="L3599" s="118"/>
      <c r="M3599" s="126"/>
      <c r="N3599" s="126"/>
      <c r="O3599" s="126"/>
      <c r="P3599" s="126"/>
      <c r="Q3599" s="126"/>
    </row>
    <row r="3600" spans="11:17" ht="12.75">
      <c r="K3600" s="118"/>
      <c r="L3600" s="118"/>
      <c r="M3600" s="126"/>
      <c r="N3600" s="126"/>
      <c r="O3600" s="126"/>
      <c r="P3600" s="126"/>
      <c r="Q3600" s="126"/>
    </row>
    <row r="3601" spans="11:17" ht="12.75">
      <c r="K3601" s="118"/>
      <c r="L3601" s="118"/>
      <c r="M3601" s="126"/>
      <c r="N3601" s="126"/>
      <c r="O3601" s="126"/>
      <c r="P3601" s="126"/>
      <c r="Q3601" s="126"/>
    </row>
    <row r="3602" spans="11:17" ht="12.75">
      <c r="K3602" s="118"/>
      <c r="L3602" s="118"/>
      <c r="M3602" s="126"/>
      <c r="N3602" s="126"/>
      <c r="O3602" s="126"/>
      <c r="P3602" s="126"/>
      <c r="Q3602" s="126"/>
    </row>
    <row r="3603" spans="11:17" ht="12.75">
      <c r="K3603" s="118"/>
      <c r="L3603" s="118"/>
      <c r="M3603" s="126"/>
      <c r="N3603" s="126"/>
      <c r="O3603" s="126"/>
      <c r="P3603" s="126"/>
      <c r="Q3603" s="126"/>
    </row>
    <row r="3604" spans="11:17" ht="12.75">
      <c r="K3604" s="118"/>
      <c r="L3604" s="118"/>
      <c r="M3604" s="126"/>
      <c r="N3604" s="126"/>
      <c r="O3604" s="126"/>
      <c r="P3604" s="126"/>
      <c r="Q3604" s="126"/>
    </row>
    <row r="3605" spans="11:17" ht="12.75">
      <c r="K3605" s="118"/>
      <c r="L3605" s="118"/>
      <c r="M3605" s="126"/>
      <c r="N3605" s="126"/>
      <c r="O3605" s="126"/>
      <c r="P3605" s="126"/>
      <c r="Q3605" s="126"/>
    </row>
    <row r="3606" spans="11:17" ht="12.75">
      <c r="K3606" s="118"/>
      <c r="L3606" s="118"/>
      <c r="M3606" s="126"/>
      <c r="N3606" s="126"/>
      <c r="O3606" s="126"/>
      <c r="P3606" s="126"/>
      <c r="Q3606" s="126"/>
    </row>
    <row r="3607" spans="11:17" ht="12.75">
      <c r="K3607" s="118"/>
      <c r="L3607" s="118"/>
      <c r="M3607" s="126"/>
      <c r="N3607" s="126"/>
      <c r="O3607" s="126"/>
      <c r="P3607" s="126"/>
      <c r="Q3607" s="126"/>
    </row>
    <row r="3608" spans="11:17" ht="12.75">
      <c r="K3608" s="118"/>
      <c r="L3608" s="118"/>
      <c r="M3608" s="126"/>
      <c r="N3608" s="126"/>
      <c r="O3608" s="126"/>
      <c r="P3608" s="126"/>
      <c r="Q3608" s="126"/>
    </row>
    <row r="3609" spans="11:17" ht="12.75">
      <c r="K3609" s="118"/>
      <c r="L3609" s="118"/>
      <c r="M3609" s="126"/>
      <c r="N3609" s="126"/>
      <c r="O3609" s="126"/>
      <c r="P3609" s="126"/>
      <c r="Q3609" s="126"/>
    </row>
    <row r="3610" spans="11:17" ht="12.75">
      <c r="K3610" s="118"/>
      <c r="L3610" s="118"/>
      <c r="M3610" s="126"/>
      <c r="N3610" s="126"/>
      <c r="O3610" s="126"/>
      <c r="P3610" s="126"/>
      <c r="Q3610" s="126"/>
    </row>
    <row r="3611" spans="11:17" ht="12.75">
      <c r="K3611" s="118"/>
      <c r="L3611" s="118"/>
      <c r="M3611" s="126"/>
      <c r="N3611" s="126"/>
      <c r="O3611" s="126"/>
      <c r="P3611" s="126"/>
      <c r="Q3611" s="126"/>
    </row>
    <row r="3612" spans="11:17" ht="12.75">
      <c r="K3612" s="118"/>
      <c r="L3612" s="118"/>
      <c r="M3612" s="126"/>
      <c r="N3612" s="126"/>
      <c r="O3612" s="126"/>
      <c r="P3612" s="126"/>
      <c r="Q3612" s="126"/>
    </row>
    <row r="3613" spans="11:17" ht="12.75">
      <c r="K3613" s="118"/>
      <c r="L3613" s="118"/>
      <c r="M3613" s="126"/>
      <c r="N3613" s="126"/>
      <c r="O3613" s="126"/>
      <c r="P3613" s="126"/>
      <c r="Q3613" s="126"/>
    </row>
    <row r="3614" spans="11:17" ht="12.75">
      <c r="K3614" s="118"/>
      <c r="L3614" s="118"/>
      <c r="M3614" s="126"/>
      <c r="N3614" s="126"/>
      <c r="O3614" s="126"/>
      <c r="P3614" s="126"/>
      <c r="Q3614" s="126"/>
    </row>
    <row r="3615" spans="11:17" ht="12.75">
      <c r="K3615" s="118"/>
      <c r="L3615" s="118"/>
      <c r="M3615" s="126"/>
      <c r="N3615" s="126"/>
      <c r="O3615" s="126"/>
      <c r="P3615" s="126"/>
      <c r="Q3615" s="126"/>
    </row>
    <row r="3616" spans="11:17" ht="12.75">
      <c r="K3616" s="118"/>
      <c r="L3616" s="118"/>
      <c r="M3616" s="126"/>
      <c r="N3616" s="126"/>
      <c r="O3616" s="126"/>
      <c r="P3616" s="126"/>
      <c r="Q3616" s="126"/>
    </row>
    <row r="3617" spans="11:17" ht="12.75">
      <c r="K3617" s="118"/>
      <c r="L3617" s="118"/>
      <c r="M3617" s="126"/>
      <c r="N3617" s="126"/>
      <c r="O3617" s="126"/>
      <c r="P3617" s="126"/>
      <c r="Q3617" s="126"/>
    </row>
    <row r="3618" spans="11:17" ht="12.75">
      <c r="K3618" s="118"/>
      <c r="L3618" s="118"/>
      <c r="M3618" s="126"/>
      <c r="N3618" s="126"/>
      <c r="O3618" s="126"/>
      <c r="P3618" s="126"/>
      <c r="Q3618" s="126"/>
    </row>
    <row r="3619" spans="11:17" ht="12.75">
      <c r="K3619" s="118"/>
      <c r="L3619" s="118"/>
      <c r="M3619" s="126"/>
      <c r="N3619" s="126"/>
      <c r="O3619" s="126"/>
      <c r="P3619" s="126"/>
      <c r="Q3619" s="126"/>
    </row>
    <row r="3620" spans="11:17" ht="12.75">
      <c r="K3620" s="118"/>
      <c r="L3620" s="118"/>
      <c r="M3620" s="126"/>
      <c r="N3620" s="126"/>
      <c r="O3620" s="126"/>
      <c r="P3620" s="126"/>
      <c r="Q3620" s="126"/>
    </row>
    <row r="3621" spans="11:17" ht="12.75">
      <c r="K3621" s="118"/>
      <c r="L3621" s="118"/>
      <c r="M3621" s="126"/>
      <c r="N3621" s="126"/>
      <c r="O3621" s="126"/>
      <c r="P3621" s="126"/>
      <c r="Q3621" s="126"/>
    </row>
    <row r="3622" spans="11:17" ht="12.75">
      <c r="K3622" s="118"/>
      <c r="L3622" s="118"/>
      <c r="M3622" s="126"/>
      <c r="N3622" s="126"/>
      <c r="O3622" s="126"/>
      <c r="P3622" s="126"/>
      <c r="Q3622" s="126"/>
    </row>
    <row r="3623" spans="11:17" ht="12.75">
      <c r="K3623" s="118"/>
      <c r="L3623" s="118"/>
      <c r="M3623" s="126"/>
      <c r="N3623" s="126"/>
      <c r="O3623" s="126"/>
      <c r="P3623" s="126"/>
      <c r="Q3623" s="126"/>
    </row>
    <row r="3624" spans="11:17" ht="12.75">
      <c r="K3624" s="118"/>
      <c r="L3624" s="118"/>
      <c r="M3624" s="126"/>
      <c r="N3624" s="126"/>
      <c r="O3624" s="126"/>
      <c r="P3624" s="126"/>
      <c r="Q3624" s="126"/>
    </row>
    <row r="3625" spans="11:17" ht="12.75">
      <c r="K3625" s="118"/>
      <c r="L3625" s="118"/>
      <c r="M3625" s="126"/>
      <c r="N3625" s="126"/>
      <c r="O3625" s="126"/>
      <c r="P3625" s="126"/>
      <c r="Q3625" s="126"/>
    </row>
    <row r="3626" spans="11:17" ht="12.75">
      <c r="K3626" s="118"/>
      <c r="L3626" s="118"/>
      <c r="M3626" s="126"/>
      <c r="N3626" s="126"/>
      <c r="O3626" s="126"/>
      <c r="P3626" s="126"/>
      <c r="Q3626" s="126"/>
    </row>
    <row r="3627" spans="11:17" ht="12.75">
      <c r="K3627" s="118"/>
      <c r="L3627" s="118"/>
      <c r="M3627" s="126"/>
      <c r="N3627" s="126"/>
      <c r="O3627" s="126"/>
      <c r="P3627" s="126"/>
      <c r="Q3627" s="126"/>
    </row>
    <row r="3628" spans="11:17" ht="12.75">
      <c r="K3628" s="118"/>
      <c r="L3628" s="118"/>
      <c r="M3628" s="126"/>
      <c r="N3628" s="126"/>
      <c r="O3628" s="126"/>
      <c r="P3628" s="126"/>
      <c r="Q3628" s="126"/>
    </row>
    <row r="3629" spans="11:17" ht="12.75">
      <c r="K3629" s="118"/>
      <c r="L3629" s="118"/>
      <c r="M3629" s="126"/>
      <c r="N3629" s="126"/>
      <c r="O3629" s="126"/>
      <c r="P3629" s="126"/>
      <c r="Q3629" s="126"/>
    </row>
    <row r="3630" spans="11:17" ht="12.75">
      <c r="K3630" s="118"/>
      <c r="L3630" s="118"/>
      <c r="M3630" s="126"/>
      <c r="N3630" s="126"/>
      <c r="O3630" s="126"/>
      <c r="P3630" s="126"/>
      <c r="Q3630" s="126"/>
    </row>
    <row r="3631" spans="11:17" ht="12.75">
      <c r="K3631" s="118"/>
      <c r="L3631" s="118"/>
      <c r="M3631" s="126"/>
      <c r="N3631" s="126"/>
      <c r="O3631" s="126"/>
      <c r="P3631" s="126"/>
      <c r="Q3631" s="126"/>
    </row>
    <row r="3632" spans="11:17" ht="12.75">
      <c r="K3632" s="118"/>
      <c r="L3632" s="118"/>
      <c r="M3632" s="126"/>
      <c r="N3632" s="126"/>
      <c r="O3632" s="126"/>
      <c r="P3632" s="126"/>
      <c r="Q3632" s="126"/>
    </row>
    <row r="3633" spans="11:17" ht="12.75">
      <c r="K3633" s="118"/>
      <c r="L3633" s="118"/>
      <c r="M3633" s="126"/>
      <c r="N3633" s="126"/>
      <c r="O3633" s="126"/>
      <c r="P3633" s="126"/>
      <c r="Q3633" s="126"/>
    </row>
    <row r="3634" spans="11:17" ht="12.75">
      <c r="K3634" s="118"/>
      <c r="L3634" s="118"/>
      <c r="M3634" s="126"/>
      <c r="N3634" s="126"/>
      <c r="O3634" s="126"/>
      <c r="P3634" s="126"/>
      <c r="Q3634" s="126"/>
    </row>
    <row r="3635" spans="11:17" ht="12.75">
      <c r="K3635" s="118"/>
      <c r="L3635" s="118"/>
      <c r="M3635" s="126"/>
      <c r="N3635" s="126"/>
      <c r="O3635" s="126"/>
      <c r="P3635" s="126"/>
      <c r="Q3635" s="126"/>
    </row>
    <row r="3636" spans="11:17" ht="12.75">
      <c r="K3636" s="118"/>
      <c r="L3636" s="118"/>
      <c r="M3636" s="126"/>
      <c r="N3636" s="126"/>
      <c r="O3636" s="126"/>
      <c r="P3636" s="126"/>
      <c r="Q3636" s="126"/>
    </row>
    <row r="3637" spans="11:17" ht="12.75">
      <c r="K3637" s="118"/>
      <c r="L3637" s="118"/>
      <c r="M3637" s="126"/>
      <c r="N3637" s="126"/>
      <c r="O3637" s="126"/>
      <c r="P3637" s="126"/>
      <c r="Q3637" s="126"/>
    </row>
    <row r="3638" spans="11:17" ht="12.75">
      <c r="K3638" s="118"/>
      <c r="L3638" s="118"/>
      <c r="M3638" s="126"/>
      <c r="N3638" s="126"/>
      <c r="O3638" s="126"/>
      <c r="P3638" s="126"/>
      <c r="Q3638" s="126"/>
    </row>
    <row r="3639" spans="11:17" ht="12.75">
      <c r="K3639" s="118"/>
      <c r="L3639" s="118"/>
      <c r="M3639" s="126"/>
      <c r="N3639" s="126"/>
      <c r="O3639" s="126"/>
      <c r="P3639" s="126"/>
      <c r="Q3639" s="126"/>
    </row>
    <row r="3640" spans="11:17" ht="12.75">
      <c r="K3640" s="118"/>
      <c r="L3640" s="118"/>
      <c r="M3640" s="126"/>
      <c r="N3640" s="126"/>
      <c r="O3640" s="126"/>
      <c r="P3640" s="126"/>
      <c r="Q3640" s="126"/>
    </row>
    <row r="3641" spans="11:17" ht="12.75">
      <c r="K3641" s="118"/>
      <c r="L3641" s="118"/>
      <c r="M3641" s="126"/>
      <c r="N3641" s="126"/>
      <c r="O3641" s="126"/>
      <c r="P3641" s="126"/>
      <c r="Q3641" s="126"/>
    </row>
    <row r="3642" spans="11:17" ht="12.75">
      <c r="K3642" s="118"/>
      <c r="L3642" s="118"/>
      <c r="M3642" s="126"/>
      <c r="N3642" s="126"/>
      <c r="O3642" s="126"/>
      <c r="P3642" s="126"/>
      <c r="Q3642" s="126"/>
    </row>
    <row r="3643" spans="11:17" ht="12.75">
      <c r="K3643" s="118"/>
      <c r="L3643" s="118"/>
      <c r="M3643" s="126"/>
      <c r="N3643" s="126"/>
      <c r="O3643" s="126"/>
      <c r="P3643" s="126"/>
      <c r="Q3643" s="126"/>
    </row>
    <row r="3644" spans="11:17" ht="12.75">
      <c r="K3644" s="118"/>
      <c r="L3644" s="118"/>
      <c r="M3644" s="126"/>
      <c r="N3644" s="126"/>
      <c r="O3644" s="126"/>
      <c r="P3644" s="126"/>
      <c r="Q3644" s="126"/>
    </row>
    <row r="3645" spans="11:17" ht="12.75">
      <c r="K3645" s="118"/>
      <c r="L3645" s="118"/>
      <c r="M3645" s="126"/>
      <c r="N3645" s="126"/>
      <c r="O3645" s="126"/>
      <c r="P3645" s="126"/>
      <c r="Q3645" s="126"/>
    </row>
    <row r="3646" spans="11:17" ht="12.75">
      <c r="K3646" s="118"/>
      <c r="L3646" s="118"/>
      <c r="M3646" s="126"/>
      <c r="N3646" s="126"/>
      <c r="O3646" s="126"/>
      <c r="P3646" s="126"/>
      <c r="Q3646" s="126"/>
    </row>
    <row r="3647" spans="11:17" ht="12.75">
      <c r="K3647" s="118"/>
      <c r="L3647" s="118"/>
      <c r="M3647" s="126"/>
      <c r="N3647" s="126"/>
      <c r="O3647" s="126"/>
      <c r="P3647" s="126"/>
      <c r="Q3647" s="126"/>
    </row>
    <row r="3648" spans="11:17" ht="12.75">
      <c r="K3648" s="118"/>
      <c r="L3648" s="118"/>
      <c r="M3648" s="126"/>
      <c r="N3648" s="126"/>
      <c r="O3648" s="126"/>
      <c r="P3648" s="126"/>
      <c r="Q3648" s="126"/>
    </row>
    <row r="3649" spans="11:17" ht="12.75">
      <c r="K3649" s="118"/>
      <c r="L3649" s="118"/>
      <c r="M3649" s="126"/>
      <c r="N3649" s="126"/>
      <c r="O3649" s="126"/>
      <c r="P3649" s="126"/>
      <c r="Q3649" s="126"/>
    </row>
    <row r="3650" spans="11:17" ht="12.75">
      <c r="K3650" s="118"/>
      <c r="L3650" s="118"/>
      <c r="M3650" s="126"/>
      <c r="N3650" s="126"/>
      <c r="O3650" s="126"/>
      <c r="P3650" s="126"/>
      <c r="Q3650" s="126"/>
    </row>
    <row r="3651" spans="11:17" ht="12.75">
      <c r="K3651" s="118"/>
      <c r="L3651" s="118"/>
      <c r="M3651" s="126"/>
      <c r="N3651" s="126"/>
      <c r="O3651" s="126"/>
      <c r="P3651" s="126"/>
      <c r="Q3651" s="126"/>
    </row>
    <row r="3652" spans="11:17" ht="12.75">
      <c r="K3652" s="118"/>
      <c r="L3652" s="118"/>
      <c r="M3652" s="126"/>
      <c r="N3652" s="126"/>
      <c r="O3652" s="126"/>
      <c r="P3652" s="126"/>
      <c r="Q3652" s="126"/>
    </row>
    <row r="3653" spans="11:17" ht="12.75">
      <c r="K3653" s="118"/>
      <c r="L3653" s="118"/>
      <c r="M3653" s="126"/>
      <c r="N3653" s="126"/>
      <c r="O3653" s="126"/>
      <c r="P3653" s="126"/>
      <c r="Q3653" s="126"/>
    </row>
    <row r="3654" spans="11:17" ht="12.75">
      <c r="K3654" s="118"/>
      <c r="L3654" s="118"/>
      <c r="M3654" s="126"/>
      <c r="N3654" s="126"/>
      <c r="O3654" s="126"/>
      <c r="P3654" s="126"/>
      <c r="Q3654" s="126"/>
    </row>
    <row r="3655" spans="11:17" ht="12.75">
      <c r="K3655" s="118"/>
      <c r="L3655" s="118"/>
      <c r="M3655" s="126"/>
      <c r="N3655" s="126"/>
      <c r="O3655" s="126"/>
      <c r="P3655" s="126"/>
      <c r="Q3655" s="126"/>
    </row>
    <row r="3656" spans="11:17" ht="12.75">
      <c r="K3656" s="118"/>
      <c r="L3656" s="118"/>
      <c r="M3656" s="126"/>
      <c r="N3656" s="126"/>
      <c r="O3656" s="126"/>
      <c r="P3656" s="126"/>
      <c r="Q3656" s="126"/>
    </row>
    <row r="3657" spans="11:17" ht="12.75">
      <c r="K3657" s="118"/>
      <c r="L3657" s="118"/>
      <c r="M3657" s="126"/>
      <c r="N3657" s="126"/>
      <c r="O3657" s="126"/>
      <c r="P3657" s="126"/>
      <c r="Q3657" s="126"/>
    </row>
    <row r="3658" spans="11:17" ht="12.75">
      <c r="K3658" s="118"/>
      <c r="L3658" s="118"/>
      <c r="M3658" s="126"/>
      <c r="N3658" s="126"/>
      <c r="O3658" s="126"/>
      <c r="P3658" s="126"/>
      <c r="Q3658" s="126"/>
    </row>
    <row r="3659" spans="11:17" ht="12.75">
      <c r="K3659" s="118"/>
      <c r="L3659" s="118"/>
      <c r="M3659" s="126"/>
      <c r="N3659" s="126"/>
      <c r="O3659" s="126"/>
      <c r="P3659" s="126"/>
      <c r="Q3659" s="126"/>
    </row>
    <row r="3660" spans="11:17" ht="12.75">
      <c r="K3660" s="118"/>
      <c r="L3660" s="118"/>
      <c r="M3660" s="126"/>
      <c r="N3660" s="126"/>
      <c r="O3660" s="126"/>
      <c r="P3660" s="126"/>
      <c r="Q3660" s="126"/>
    </row>
    <row r="3661" spans="11:17" ht="12.75">
      <c r="K3661" s="118"/>
      <c r="L3661" s="118"/>
      <c r="M3661" s="126"/>
      <c r="N3661" s="126"/>
      <c r="O3661" s="126"/>
      <c r="P3661" s="126"/>
      <c r="Q3661" s="126"/>
    </row>
    <row r="3662" spans="11:17" ht="12.75">
      <c r="K3662" s="118"/>
      <c r="L3662" s="118"/>
      <c r="M3662" s="126"/>
      <c r="N3662" s="126"/>
      <c r="O3662" s="126"/>
      <c r="P3662" s="126"/>
      <c r="Q3662" s="126"/>
    </row>
    <row r="3663" spans="11:17" ht="12.75">
      <c r="K3663" s="118"/>
      <c r="L3663" s="118"/>
      <c r="M3663" s="126"/>
      <c r="N3663" s="126"/>
      <c r="O3663" s="126"/>
      <c r="P3663" s="126"/>
      <c r="Q3663" s="126"/>
    </row>
    <row r="3664" spans="11:17" ht="12.75">
      <c r="K3664" s="118"/>
      <c r="L3664" s="118"/>
      <c r="M3664" s="126"/>
      <c r="N3664" s="126"/>
      <c r="O3664" s="126"/>
      <c r="P3664" s="126"/>
      <c r="Q3664" s="126"/>
    </row>
    <row r="3665" spans="11:17" ht="12.75">
      <c r="K3665" s="118"/>
      <c r="L3665" s="118"/>
      <c r="M3665" s="126"/>
      <c r="N3665" s="126"/>
      <c r="O3665" s="126"/>
      <c r="P3665" s="126"/>
      <c r="Q3665" s="126"/>
    </row>
    <row r="3666" spans="11:17" ht="12.75">
      <c r="K3666" s="118"/>
      <c r="L3666" s="118"/>
      <c r="M3666" s="126"/>
      <c r="N3666" s="126"/>
      <c r="O3666" s="126"/>
      <c r="P3666" s="126"/>
      <c r="Q3666" s="126"/>
    </row>
    <row r="3667" spans="11:17" ht="12.75">
      <c r="K3667" s="118"/>
      <c r="L3667" s="118"/>
      <c r="M3667" s="126"/>
      <c r="N3667" s="126"/>
      <c r="O3667" s="126"/>
      <c r="P3667" s="126"/>
      <c r="Q3667" s="126"/>
    </row>
    <row r="3668" spans="11:17" ht="12.75">
      <c r="K3668" s="118"/>
      <c r="L3668" s="118"/>
      <c r="M3668" s="126"/>
      <c r="N3668" s="126"/>
      <c r="O3668" s="126"/>
      <c r="P3668" s="126"/>
      <c r="Q3668" s="126"/>
    </row>
    <row r="3669" spans="11:17" ht="12.75">
      <c r="K3669" s="118"/>
      <c r="L3669" s="118"/>
      <c r="M3669" s="126"/>
      <c r="N3669" s="126"/>
      <c r="O3669" s="126"/>
      <c r="P3669" s="126"/>
      <c r="Q3669" s="126"/>
    </row>
    <row r="3670" spans="11:17" ht="12.75">
      <c r="K3670" s="118"/>
      <c r="L3670" s="118"/>
      <c r="M3670" s="126"/>
      <c r="N3670" s="126"/>
      <c r="O3670" s="126"/>
      <c r="P3670" s="126"/>
      <c r="Q3670" s="126"/>
    </row>
    <row r="3671" spans="11:17" ht="12.75">
      <c r="K3671" s="118"/>
      <c r="L3671" s="118"/>
      <c r="M3671" s="126"/>
      <c r="N3671" s="126"/>
      <c r="O3671" s="126"/>
      <c r="P3671" s="126"/>
      <c r="Q3671" s="126"/>
    </row>
    <row r="3672" spans="11:17" ht="12.75">
      <c r="K3672" s="118"/>
      <c r="L3672" s="118"/>
      <c r="M3672" s="126"/>
      <c r="N3672" s="126"/>
      <c r="O3672" s="126"/>
      <c r="P3672" s="126"/>
      <c r="Q3672" s="126"/>
    </row>
    <row r="3673" spans="11:17" ht="12.75">
      <c r="K3673" s="118"/>
      <c r="L3673" s="118"/>
      <c r="M3673" s="126"/>
      <c r="N3673" s="126"/>
      <c r="O3673" s="126"/>
      <c r="P3673" s="126"/>
      <c r="Q3673" s="126"/>
    </row>
    <row r="3674" spans="11:17" ht="12.75">
      <c r="K3674" s="118"/>
      <c r="L3674" s="118"/>
      <c r="M3674" s="126"/>
      <c r="N3674" s="126"/>
      <c r="O3674" s="126"/>
      <c r="P3674" s="126"/>
      <c r="Q3674" s="126"/>
    </row>
    <row r="3675" spans="11:17" ht="12.75">
      <c r="K3675" s="118"/>
      <c r="L3675" s="118"/>
      <c r="M3675" s="126"/>
      <c r="N3675" s="126"/>
      <c r="O3675" s="126"/>
      <c r="P3675" s="126"/>
      <c r="Q3675" s="126"/>
    </row>
    <row r="3676" spans="11:17" ht="12.75">
      <c r="K3676" s="118"/>
      <c r="L3676" s="118"/>
      <c r="M3676" s="126"/>
      <c r="N3676" s="126"/>
      <c r="O3676" s="126"/>
      <c r="P3676" s="126"/>
      <c r="Q3676" s="126"/>
    </row>
    <row r="3677" spans="11:17" ht="12.75">
      <c r="K3677" s="118"/>
      <c r="L3677" s="118"/>
      <c r="M3677" s="126"/>
      <c r="N3677" s="126"/>
      <c r="O3677" s="126"/>
      <c r="P3677" s="126"/>
      <c r="Q3677" s="126"/>
    </row>
    <row r="3678" spans="11:17" ht="12.75">
      <c r="K3678" s="118"/>
      <c r="L3678" s="118"/>
      <c r="M3678" s="126"/>
      <c r="N3678" s="126"/>
      <c r="O3678" s="126"/>
      <c r="P3678" s="126"/>
      <c r="Q3678" s="126"/>
    </row>
    <row r="3679" spans="11:17" ht="12.75">
      <c r="K3679" s="118"/>
      <c r="L3679" s="118"/>
      <c r="M3679" s="126"/>
      <c r="N3679" s="126"/>
      <c r="O3679" s="126"/>
      <c r="P3679" s="126"/>
      <c r="Q3679" s="126"/>
    </row>
    <row r="3680" spans="11:17" ht="12.75">
      <c r="K3680" s="118"/>
      <c r="L3680" s="118"/>
      <c r="M3680" s="126"/>
      <c r="N3680" s="126"/>
      <c r="O3680" s="126"/>
      <c r="P3680" s="126"/>
      <c r="Q3680" s="126"/>
    </row>
    <row r="3681" spans="11:17" ht="12.75">
      <c r="K3681" s="118"/>
      <c r="L3681" s="118"/>
      <c r="M3681" s="126"/>
      <c r="N3681" s="126"/>
      <c r="O3681" s="126"/>
      <c r="P3681" s="126"/>
      <c r="Q3681" s="126"/>
    </row>
    <row r="3682" spans="11:17" ht="12.75">
      <c r="K3682" s="118"/>
      <c r="L3682" s="118"/>
      <c r="M3682" s="126"/>
      <c r="N3682" s="126"/>
      <c r="O3682" s="126"/>
      <c r="P3682" s="126"/>
      <c r="Q3682" s="126"/>
    </row>
    <row r="3683" spans="11:17" ht="12.75">
      <c r="K3683" s="118"/>
      <c r="L3683" s="118"/>
      <c r="M3683" s="126"/>
      <c r="N3683" s="126"/>
      <c r="O3683" s="126"/>
      <c r="P3683" s="126"/>
      <c r="Q3683" s="126"/>
    </row>
    <row r="3684" spans="11:17" ht="12.75">
      <c r="K3684" s="118"/>
      <c r="L3684" s="118"/>
      <c r="M3684" s="126"/>
      <c r="N3684" s="126"/>
      <c r="O3684" s="126"/>
      <c r="P3684" s="126"/>
      <c r="Q3684" s="126"/>
    </row>
    <row r="3685" spans="11:17" ht="12.75">
      <c r="K3685" s="118"/>
      <c r="L3685" s="118"/>
      <c r="M3685" s="126"/>
      <c r="N3685" s="126"/>
      <c r="O3685" s="126"/>
      <c r="P3685" s="126"/>
      <c r="Q3685" s="126"/>
    </row>
    <row r="3686" spans="11:17" ht="12.75">
      <c r="K3686" s="118"/>
      <c r="L3686" s="118"/>
      <c r="M3686" s="126"/>
      <c r="N3686" s="126"/>
      <c r="O3686" s="126"/>
      <c r="P3686" s="126"/>
      <c r="Q3686" s="126"/>
    </row>
    <row r="3687" spans="11:17" ht="12.75">
      <c r="K3687" s="118"/>
      <c r="L3687" s="118"/>
      <c r="M3687" s="126"/>
      <c r="N3687" s="126"/>
      <c r="O3687" s="126"/>
      <c r="P3687" s="126"/>
      <c r="Q3687" s="126"/>
    </row>
    <row r="3688" spans="11:17" ht="12.75">
      <c r="K3688" s="118"/>
      <c r="L3688" s="118"/>
      <c r="M3688" s="126"/>
      <c r="N3688" s="126"/>
      <c r="O3688" s="126"/>
      <c r="P3688" s="126"/>
      <c r="Q3688" s="126"/>
    </row>
    <row r="3689" spans="11:17" ht="12.75">
      <c r="K3689" s="118"/>
      <c r="L3689" s="118"/>
      <c r="M3689" s="126"/>
      <c r="N3689" s="126"/>
      <c r="O3689" s="126"/>
      <c r="P3689" s="126"/>
      <c r="Q3689" s="126"/>
    </row>
    <row r="3690" spans="11:17" ht="12.75">
      <c r="K3690" s="118"/>
      <c r="L3690" s="118"/>
      <c r="M3690" s="126"/>
      <c r="N3690" s="126"/>
      <c r="O3690" s="126"/>
      <c r="P3690" s="126"/>
      <c r="Q3690" s="126"/>
    </row>
    <row r="3691" spans="11:17" ht="12.75">
      <c r="K3691" s="118"/>
      <c r="L3691" s="118"/>
      <c r="M3691" s="126"/>
      <c r="N3691" s="126"/>
      <c r="O3691" s="126"/>
      <c r="P3691" s="126"/>
      <c r="Q3691" s="126"/>
    </row>
    <row r="3692" spans="11:17" ht="12.75">
      <c r="K3692" s="118"/>
      <c r="L3692" s="118"/>
      <c r="M3692" s="126"/>
      <c r="N3692" s="126"/>
      <c r="O3692" s="126"/>
      <c r="P3692" s="126"/>
      <c r="Q3692" s="126"/>
    </row>
    <row r="3693" spans="11:17" ht="12.75">
      <c r="K3693" s="118"/>
      <c r="L3693" s="118"/>
      <c r="M3693" s="126"/>
      <c r="N3693" s="126"/>
      <c r="O3693" s="126"/>
      <c r="P3693" s="126"/>
      <c r="Q3693" s="126"/>
    </row>
    <row r="3694" spans="11:17" ht="12.75">
      <c r="K3694" s="118"/>
      <c r="L3694" s="118"/>
      <c r="M3694" s="126"/>
      <c r="N3694" s="126"/>
      <c r="O3694" s="126"/>
      <c r="P3694" s="126"/>
      <c r="Q3694" s="126"/>
    </row>
    <row r="3695" spans="11:17" ht="12.75">
      <c r="K3695" s="118"/>
      <c r="L3695" s="118"/>
      <c r="M3695" s="126"/>
      <c r="N3695" s="126"/>
      <c r="O3695" s="126"/>
      <c r="P3695" s="126"/>
      <c r="Q3695" s="126"/>
    </row>
    <row r="3696" spans="11:17" ht="12.75">
      <c r="K3696" s="118"/>
      <c r="L3696" s="118"/>
      <c r="M3696" s="126"/>
      <c r="N3696" s="126"/>
      <c r="O3696" s="126"/>
      <c r="P3696" s="126"/>
      <c r="Q3696" s="126"/>
    </row>
    <row r="3697" spans="11:17" ht="12.75">
      <c r="K3697" s="118"/>
      <c r="L3697" s="118"/>
      <c r="M3697" s="126"/>
      <c r="N3697" s="126"/>
      <c r="O3697" s="126"/>
      <c r="P3697" s="126"/>
      <c r="Q3697" s="126"/>
    </row>
    <row r="3698" spans="11:17" ht="12.75">
      <c r="K3698" s="118"/>
      <c r="L3698" s="118"/>
      <c r="M3698" s="126"/>
      <c r="N3698" s="126"/>
      <c r="O3698" s="126"/>
      <c r="P3698" s="126"/>
      <c r="Q3698" s="126"/>
    </row>
    <row r="3699" spans="11:17" ht="12.75">
      <c r="K3699" s="118"/>
      <c r="L3699" s="118"/>
      <c r="M3699" s="126"/>
      <c r="N3699" s="126"/>
      <c r="O3699" s="126"/>
      <c r="P3699" s="126"/>
      <c r="Q3699" s="126"/>
    </row>
    <row r="3700" spans="11:17" ht="12.75">
      <c r="K3700" s="118"/>
      <c r="L3700" s="118"/>
      <c r="M3700" s="126"/>
      <c r="N3700" s="126"/>
      <c r="O3700" s="126"/>
      <c r="P3700" s="126"/>
      <c r="Q3700" s="126"/>
    </row>
    <row r="3701" spans="11:17" ht="12.75">
      <c r="K3701" s="118"/>
      <c r="L3701" s="118"/>
      <c r="M3701" s="126"/>
      <c r="N3701" s="126"/>
      <c r="O3701" s="126"/>
      <c r="P3701" s="126"/>
      <c r="Q3701" s="126"/>
    </row>
    <row r="3702" spans="11:17" ht="12.75">
      <c r="K3702" s="118"/>
      <c r="L3702" s="118"/>
      <c r="M3702" s="126"/>
      <c r="N3702" s="126"/>
      <c r="O3702" s="126"/>
      <c r="P3702" s="126"/>
      <c r="Q3702" s="126"/>
    </row>
    <row r="3703" spans="11:17" ht="12.75">
      <c r="K3703" s="118"/>
      <c r="L3703" s="118"/>
      <c r="M3703" s="126"/>
      <c r="N3703" s="126"/>
      <c r="O3703" s="126"/>
      <c r="P3703" s="126"/>
      <c r="Q3703" s="126"/>
    </row>
    <row r="3704" spans="11:17" ht="12.75">
      <c r="K3704" s="118"/>
      <c r="L3704" s="118"/>
      <c r="M3704" s="126"/>
      <c r="N3704" s="126"/>
      <c r="O3704" s="126"/>
      <c r="P3704" s="126"/>
      <c r="Q3704" s="126"/>
    </row>
    <row r="3705" spans="11:17" ht="12.75">
      <c r="K3705" s="118"/>
      <c r="L3705" s="118"/>
      <c r="M3705" s="126"/>
      <c r="N3705" s="126"/>
      <c r="O3705" s="126"/>
      <c r="P3705" s="126"/>
      <c r="Q3705" s="126"/>
    </row>
    <row r="3706" spans="11:17" ht="12.75">
      <c r="K3706" s="118"/>
      <c r="L3706" s="118"/>
      <c r="M3706" s="126"/>
      <c r="N3706" s="126"/>
      <c r="O3706" s="126"/>
      <c r="P3706" s="126"/>
      <c r="Q3706" s="126"/>
    </row>
    <row r="3707" spans="11:17" ht="12.75">
      <c r="K3707" s="118"/>
      <c r="L3707" s="118"/>
      <c r="M3707" s="126"/>
      <c r="N3707" s="126"/>
      <c r="O3707" s="126"/>
      <c r="P3707" s="126"/>
      <c r="Q3707" s="126"/>
    </row>
    <row r="3708" spans="11:17" ht="12.75">
      <c r="K3708" s="118"/>
      <c r="L3708" s="118"/>
      <c r="M3708" s="126"/>
      <c r="N3708" s="126"/>
      <c r="O3708" s="126"/>
      <c r="P3708" s="126"/>
      <c r="Q3708" s="126"/>
    </row>
    <row r="3709" spans="11:17" ht="12.75">
      <c r="K3709" s="118"/>
      <c r="L3709" s="118"/>
      <c r="M3709" s="126"/>
      <c r="N3709" s="126"/>
      <c r="O3709" s="126"/>
      <c r="P3709" s="126"/>
      <c r="Q3709" s="126"/>
    </row>
    <row r="3710" spans="11:17" ht="12.75">
      <c r="K3710" s="118"/>
      <c r="L3710" s="118"/>
      <c r="M3710" s="126"/>
      <c r="N3710" s="126"/>
      <c r="O3710" s="126"/>
      <c r="P3710" s="126"/>
      <c r="Q3710" s="126"/>
    </row>
    <row r="3711" spans="11:17" ht="12.75">
      <c r="K3711" s="118"/>
      <c r="L3711" s="118"/>
      <c r="M3711" s="126"/>
      <c r="N3711" s="126"/>
      <c r="O3711" s="126"/>
      <c r="P3711" s="126"/>
      <c r="Q3711" s="126"/>
    </row>
    <row r="3712" spans="11:17" ht="12.75">
      <c r="K3712" s="118"/>
      <c r="L3712" s="118"/>
      <c r="M3712" s="126"/>
      <c r="N3712" s="126"/>
      <c r="O3712" s="126"/>
      <c r="P3712" s="126"/>
      <c r="Q3712" s="126"/>
    </row>
    <row r="3713" spans="11:17" ht="12.75">
      <c r="K3713" s="118"/>
      <c r="L3713" s="118"/>
      <c r="M3713" s="126"/>
      <c r="N3713" s="126"/>
      <c r="O3713" s="126"/>
      <c r="P3713" s="126"/>
      <c r="Q3713" s="126"/>
    </row>
    <row r="3714" spans="11:17" ht="12.75">
      <c r="K3714" s="118"/>
      <c r="L3714" s="118"/>
      <c r="M3714" s="126"/>
      <c r="N3714" s="126"/>
      <c r="O3714" s="126"/>
      <c r="P3714" s="126"/>
      <c r="Q3714" s="126"/>
    </row>
    <row r="3715" spans="11:17" ht="12.75">
      <c r="K3715" s="118"/>
      <c r="L3715" s="118"/>
      <c r="M3715" s="126"/>
      <c r="N3715" s="126"/>
      <c r="O3715" s="126"/>
      <c r="P3715" s="126"/>
      <c r="Q3715" s="126"/>
    </row>
    <row r="3716" spans="11:17" ht="12.75">
      <c r="K3716" s="118"/>
      <c r="L3716" s="118"/>
      <c r="M3716" s="126"/>
      <c r="N3716" s="126"/>
      <c r="O3716" s="126"/>
      <c r="P3716" s="126"/>
      <c r="Q3716" s="126"/>
    </row>
    <row r="3717" spans="11:17" ht="12.75">
      <c r="K3717" s="118"/>
      <c r="L3717" s="118"/>
      <c r="M3717" s="126"/>
      <c r="N3717" s="126"/>
      <c r="O3717" s="126"/>
      <c r="P3717" s="126"/>
      <c r="Q3717" s="126"/>
    </row>
    <row r="3718" spans="11:17" ht="12.75">
      <c r="K3718" s="118"/>
      <c r="L3718" s="118"/>
      <c r="M3718" s="126"/>
      <c r="N3718" s="126"/>
      <c r="O3718" s="126"/>
      <c r="P3718" s="126"/>
      <c r="Q3718" s="126"/>
    </row>
    <row r="3719" spans="11:17" ht="12.75">
      <c r="K3719" s="118"/>
      <c r="L3719" s="118"/>
      <c r="M3719" s="126"/>
      <c r="N3719" s="126"/>
      <c r="O3719" s="126"/>
      <c r="P3719" s="126"/>
      <c r="Q3719" s="126"/>
    </row>
    <row r="3720" spans="11:17" ht="12.75">
      <c r="K3720" s="118"/>
      <c r="L3720" s="118"/>
      <c r="M3720" s="126"/>
      <c r="N3720" s="126"/>
      <c r="O3720" s="126"/>
      <c r="P3720" s="126"/>
      <c r="Q3720" s="126"/>
    </row>
    <row r="3721" spans="11:17" ht="12.75">
      <c r="K3721" s="118"/>
      <c r="L3721" s="118"/>
      <c r="M3721" s="126"/>
      <c r="N3721" s="126"/>
      <c r="O3721" s="126"/>
      <c r="P3721" s="126"/>
      <c r="Q3721" s="126"/>
    </row>
    <row r="3722" spans="11:17" ht="12.75">
      <c r="K3722" s="118"/>
      <c r="L3722" s="118"/>
      <c r="M3722" s="126"/>
      <c r="N3722" s="126"/>
      <c r="O3722" s="126"/>
      <c r="P3722" s="126"/>
      <c r="Q3722" s="126"/>
    </row>
    <row r="3723" spans="11:17" ht="12.75">
      <c r="K3723" s="118"/>
      <c r="L3723" s="118"/>
      <c r="M3723" s="126"/>
      <c r="N3723" s="126"/>
      <c r="O3723" s="126"/>
      <c r="P3723" s="126"/>
      <c r="Q3723" s="126"/>
    </row>
    <row r="3724" spans="11:17" ht="12.75">
      <c r="K3724" s="118"/>
      <c r="L3724" s="118"/>
      <c r="M3724" s="126"/>
      <c r="N3724" s="126"/>
      <c r="O3724" s="126"/>
      <c r="P3724" s="126"/>
      <c r="Q3724" s="126"/>
    </row>
    <row r="3725" spans="11:17" ht="12.75">
      <c r="K3725" s="118"/>
      <c r="L3725" s="118"/>
      <c r="M3725" s="126"/>
      <c r="N3725" s="126"/>
      <c r="O3725" s="126"/>
      <c r="P3725" s="126"/>
      <c r="Q3725" s="126"/>
    </row>
    <row r="3726" spans="11:17" ht="12.75">
      <c r="K3726" s="118"/>
      <c r="L3726" s="118"/>
      <c r="M3726" s="126"/>
      <c r="N3726" s="126"/>
      <c r="O3726" s="126"/>
      <c r="P3726" s="126"/>
      <c r="Q3726" s="126"/>
    </row>
    <row r="3727" spans="11:17" ht="12.75">
      <c r="K3727" s="118"/>
      <c r="L3727" s="118"/>
      <c r="M3727" s="126"/>
      <c r="N3727" s="126"/>
      <c r="O3727" s="126"/>
      <c r="P3727" s="126"/>
      <c r="Q3727" s="126"/>
    </row>
    <row r="3728" spans="11:17" ht="12.75">
      <c r="K3728" s="118"/>
      <c r="L3728" s="118"/>
      <c r="M3728" s="126"/>
      <c r="N3728" s="126"/>
      <c r="O3728" s="126"/>
      <c r="P3728" s="126"/>
      <c r="Q3728" s="126"/>
    </row>
    <row r="3729" spans="11:17" ht="12.75">
      <c r="K3729" s="118"/>
      <c r="L3729" s="118"/>
      <c r="M3729" s="126"/>
      <c r="N3729" s="126"/>
      <c r="O3729" s="126"/>
      <c r="P3729" s="126"/>
      <c r="Q3729" s="126"/>
    </row>
    <row r="3730" spans="11:17" ht="12.75">
      <c r="K3730" s="118"/>
      <c r="L3730" s="118"/>
      <c r="M3730" s="126"/>
      <c r="N3730" s="126"/>
      <c r="O3730" s="126"/>
      <c r="P3730" s="126"/>
      <c r="Q3730" s="126"/>
    </row>
    <row r="3731" spans="11:17" ht="12.75">
      <c r="K3731" s="118"/>
      <c r="L3731" s="118"/>
      <c r="M3731" s="126"/>
      <c r="N3731" s="126"/>
      <c r="O3731" s="126"/>
      <c r="P3731" s="126"/>
      <c r="Q3731" s="126"/>
    </row>
    <row r="3732" spans="11:17" ht="12.75">
      <c r="K3732" s="118"/>
      <c r="L3732" s="118"/>
      <c r="M3732" s="126"/>
      <c r="N3732" s="126"/>
      <c r="O3732" s="126"/>
      <c r="P3732" s="126"/>
      <c r="Q3732" s="126"/>
    </row>
    <row r="3733" spans="11:17" ht="12.75">
      <c r="K3733" s="118"/>
      <c r="L3733" s="118"/>
      <c r="M3733" s="126"/>
      <c r="N3733" s="126"/>
      <c r="O3733" s="126"/>
      <c r="P3733" s="126"/>
      <c r="Q3733" s="126"/>
    </row>
    <row r="3734" spans="11:17" ht="12.75">
      <c r="K3734" s="118"/>
      <c r="L3734" s="118"/>
      <c r="M3734" s="126"/>
      <c r="N3734" s="126"/>
      <c r="O3734" s="126"/>
      <c r="P3734" s="126"/>
      <c r="Q3734" s="126"/>
    </row>
    <row r="3735" spans="11:17" ht="12.75">
      <c r="K3735" s="118"/>
      <c r="L3735" s="118"/>
      <c r="M3735" s="126"/>
      <c r="N3735" s="126"/>
      <c r="O3735" s="126"/>
      <c r="P3735" s="126"/>
      <c r="Q3735" s="126"/>
    </row>
    <row r="3736" spans="11:17" ht="12.75">
      <c r="K3736" s="118"/>
      <c r="L3736" s="118"/>
      <c r="M3736" s="126"/>
      <c r="N3736" s="126"/>
      <c r="O3736" s="126"/>
      <c r="P3736" s="126"/>
      <c r="Q3736" s="126"/>
    </row>
    <row r="3737" spans="11:17" ht="12.75">
      <c r="K3737" s="118"/>
      <c r="L3737" s="118"/>
      <c r="M3737" s="126"/>
      <c r="N3737" s="126"/>
      <c r="O3737" s="126"/>
      <c r="P3737" s="126"/>
      <c r="Q3737" s="126"/>
    </row>
    <row r="3738" spans="11:17" ht="12.75">
      <c r="K3738" s="118"/>
      <c r="L3738" s="118"/>
      <c r="M3738" s="126"/>
      <c r="N3738" s="126"/>
      <c r="O3738" s="126"/>
      <c r="P3738" s="126"/>
      <c r="Q3738" s="126"/>
    </row>
    <row r="3739" spans="11:17" ht="12.75">
      <c r="K3739" s="118"/>
      <c r="L3739" s="118"/>
      <c r="M3739" s="126"/>
      <c r="N3739" s="126"/>
      <c r="O3739" s="126"/>
      <c r="P3739" s="126"/>
      <c r="Q3739" s="126"/>
    </row>
    <row r="3740" spans="11:17" ht="12.75">
      <c r="K3740" s="118"/>
      <c r="L3740" s="118"/>
      <c r="M3740" s="126"/>
      <c r="N3740" s="126"/>
      <c r="O3740" s="126"/>
      <c r="P3740" s="126"/>
      <c r="Q3740" s="126"/>
    </row>
    <row r="3741" spans="11:17" ht="12.75">
      <c r="K3741" s="118"/>
      <c r="L3741" s="118"/>
      <c r="M3741" s="126"/>
      <c r="N3741" s="126"/>
      <c r="O3741" s="126"/>
      <c r="P3741" s="126"/>
      <c r="Q3741" s="126"/>
    </row>
    <row r="3742" spans="11:17" ht="12.75">
      <c r="K3742" s="118"/>
      <c r="L3742" s="118"/>
      <c r="M3742" s="126"/>
      <c r="N3742" s="126"/>
      <c r="O3742" s="126"/>
      <c r="P3742" s="126"/>
      <c r="Q3742" s="126"/>
    </row>
    <row r="3743" spans="11:17" ht="12.75">
      <c r="K3743" s="118"/>
      <c r="L3743" s="118"/>
      <c r="M3743" s="126"/>
      <c r="N3743" s="126"/>
      <c r="O3743" s="126"/>
      <c r="P3743" s="126"/>
      <c r="Q3743" s="126"/>
    </row>
    <row r="3744" spans="11:17" ht="12.75">
      <c r="K3744" s="118"/>
      <c r="L3744" s="118"/>
      <c r="M3744" s="126"/>
      <c r="N3744" s="126"/>
      <c r="O3744" s="126"/>
      <c r="P3744" s="126"/>
      <c r="Q3744" s="126"/>
    </row>
    <row r="3745" spans="11:17" ht="12.75">
      <c r="K3745" s="118"/>
      <c r="L3745" s="118"/>
      <c r="M3745" s="126"/>
      <c r="N3745" s="126"/>
      <c r="O3745" s="126"/>
      <c r="P3745" s="126"/>
      <c r="Q3745" s="126"/>
    </row>
    <row r="3746" spans="11:17" ht="12.75">
      <c r="K3746" s="118"/>
      <c r="L3746" s="118"/>
      <c r="M3746" s="126"/>
      <c r="N3746" s="126"/>
      <c r="O3746" s="126"/>
      <c r="P3746" s="126"/>
      <c r="Q3746" s="126"/>
    </row>
    <row r="3747" spans="11:17" ht="12.75">
      <c r="K3747" s="118"/>
      <c r="L3747" s="118"/>
      <c r="M3747" s="126"/>
      <c r="N3747" s="126"/>
      <c r="O3747" s="126"/>
      <c r="P3747" s="126"/>
      <c r="Q3747" s="126"/>
    </row>
    <row r="3748" spans="11:17" ht="12.75">
      <c r="K3748" s="118"/>
      <c r="L3748" s="118"/>
      <c r="M3748" s="126"/>
      <c r="N3748" s="126"/>
      <c r="O3748" s="126"/>
      <c r="P3748" s="126"/>
      <c r="Q3748" s="126"/>
    </row>
    <row r="3749" spans="11:17" ht="12.75">
      <c r="K3749" s="118"/>
      <c r="L3749" s="118"/>
      <c r="M3749" s="126"/>
      <c r="N3749" s="126"/>
      <c r="O3749" s="126"/>
      <c r="P3749" s="126"/>
      <c r="Q3749" s="126"/>
    </row>
    <row r="3750" spans="11:17" ht="12.75">
      <c r="K3750" s="118"/>
      <c r="L3750" s="118"/>
      <c r="M3750" s="126"/>
      <c r="N3750" s="126"/>
      <c r="O3750" s="126"/>
      <c r="P3750" s="126"/>
      <c r="Q3750" s="126"/>
    </row>
    <row r="3751" spans="11:17" ht="12.75">
      <c r="K3751" s="118"/>
      <c r="L3751" s="118"/>
      <c r="M3751" s="126"/>
      <c r="N3751" s="126"/>
      <c r="O3751" s="126"/>
      <c r="P3751" s="126"/>
      <c r="Q3751" s="126"/>
    </row>
    <row r="3752" spans="11:17" ht="12.75">
      <c r="K3752" s="118"/>
      <c r="L3752" s="118"/>
      <c r="M3752" s="126"/>
      <c r="N3752" s="126"/>
      <c r="O3752" s="126"/>
      <c r="P3752" s="126"/>
      <c r="Q3752" s="126"/>
    </row>
    <row r="3753" spans="11:17" ht="12.75">
      <c r="K3753" s="118"/>
      <c r="L3753" s="118"/>
      <c r="M3753" s="126"/>
      <c r="N3753" s="126"/>
      <c r="O3753" s="126"/>
      <c r="P3753" s="126"/>
      <c r="Q3753" s="126"/>
    </row>
    <row r="3754" spans="11:17" ht="12.75">
      <c r="K3754" s="118"/>
      <c r="L3754" s="118"/>
      <c r="M3754" s="126"/>
      <c r="N3754" s="126"/>
      <c r="O3754" s="126"/>
      <c r="P3754" s="126"/>
      <c r="Q3754" s="126"/>
    </row>
    <row r="3755" spans="11:17" ht="12.75">
      <c r="K3755" s="118"/>
      <c r="L3755" s="118"/>
      <c r="M3755" s="126"/>
      <c r="N3755" s="126"/>
      <c r="O3755" s="126"/>
      <c r="P3755" s="126"/>
      <c r="Q3755" s="126"/>
    </row>
    <row r="3756" spans="11:17" ht="12.75">
      <c r="K3756" s="118"/>
      <c r="L3756" s="118"/>
      <c r="M3756" s="126"/>
      <c r="N3756" s="126"/>
      <c r="O3756" s="126"/>
      <c r="P3756" s="126"/>
      <c r="Q3756" s="126"/>
    </row>
    <row r="3757" spans="11:17" ht="12.75">
      <c r="K3757" s="118"/>
      <c r="L3757" s="118"/>
      <c r="M3757" s="126"/>
      <c r="N3757" s="126"/>
      <c r="O3757" s="126"/>
      <c r="P3757" s="126"/>
      <c r="Q3757" s="126"/>
    </row>
    <row r="3758" spans="11:17" ht="12.75">
      <c r="K3758" s="118"/>
      <c r="L3758" s="118"/>
      <c r="M3758" s="126"/>
      <c r="N3758" s="126"/>
      <c r="O3758" s="126"/>
      <c r="P3758" s="126"/>
      <c r="Q3758" s="126"/>
    </row>
    <row r="3759" spans="11:17" ht="12.75">
      <c r="K3759" s="118"/>
      <c r="L3759" s="118"/>
      <c r="M3759" s="126"/>
      <c r="N3759" s="126"/>
      <c r="O3759" s="126"/>
      <c r="P3759" s="126"/>
      <c r="Q3759" s="126"/>
    </row>
    <row r="3760" spans="11:17" ht="12.75">
      <c r="K3760" s="118"/>
      <c r="L3760" s="118"/>
      <c r="M3760" s="126"/>
      <c r="N3760" s="126"/>
      <c r="O3760" s="126"/>
      <c r="P3760" s="126"/>
      <c r="Q3760" s="126"/>
    </row>
    <row r="3761" spans="11:17" ht="12.75">
      <c r="K3761" s="118"/>
      <c r="L3761" s="118"/>
      <c r="M3761" s="126"/>
      <c r="N3761" s="126"/>
      <c r="O3761" s="126"/>
      <c r="P3761" s="126"/>
      <c r="Q3761" s="126"/>
    </row>
    <row r="3762" spans="11:17" ht="12.75">
      <c r="K3762" s="118"/>
      <c r="L3762" s="118"/>
      <c r="M3762" s="126"/>
      <c r="N3762" s="126"/>
      <c r="O3762" s="126"/>
      <c r="P3762" s="126"/>
      <c r="Q3762" s="126"/>
    </row>
    <row r="3763" spans="11:17" ht="12.75">
      <c r="K3763" s="118"/>
      <c r="L3763" s="118"/>
      <c r="M3763" s="126"/>
      <c r="N3763" s="126"/>
      <c r="O3763" s="126"/>
      <c r="P3763" s="126"/>
      <c r="Q3763" s="126"/>
    </row>
    <row r="3764" spans="11:17" ht="12.75">
      <c r="K3764" s="118"/>
      <c r="L3764" s="118"/>
      <c r="M3764" s="126"/>
      <c r="N3764" s="126"/>
      <c r="O3764" s="126"/>
      <c r="P3764" s="126"/>
      <c r="Q3764" s="126"/>
    </row>
    <row r="3765" spans="11:17" ht="12.75">
      <c r="K3765" s="118"/>
      <c r="L3765" s="118"/>
      <c r="M3765" s="126"/>
      <c r="N3765" s="126"/>
      <c r="O3765" s="126"/>
      <c r="P3765" s="126"/>
      <c r="Q3765" s="126"/>
    </row>
    <row r="3766" spans="11:17" ht="12.75">
      <c r="K3766" s="118"/>
      <c r="L3766" s="118"/>
      <c r="M3766" s="126"/>
      <c r="N3766" s="126"/>
      <c r="O3766" s="126"/>
      <c r="P3766" s="126"/>
      <c r="Q3766" s="126"/>
    </row>
    <row r="3767" spans="11:17" ht="12.75">
      <c r="K3767" s="118"/>
      <c r="L3767" s="118"/>
      <c r="M3767" s="126"/>
      <c r="N3767" s="126"/>
      <c r="O3767" s="126"/>
      <c r="P3767" s="126"/>
      <c r="Q3767" s="126"/>
    </row>
    <row r="3768" spans="11:17" ht="12.75">
      <c r="K3768" s="118"/>
      <c r="L3768" s="118"/>
      <c r="M3768" s="126"/>
      <c r="N3768" s="126"/>
      <c r="O3768" s="126"/>
      <c r="P3768" s="126"/>
      <c r="Q3768" s="126"/>
    </row>
    <row r="3769" spans="11:17" ht="12.75">
      <c r="K3769" s="118"/>
      <c r="L3769" s="118"/>
      <c r="M3769" s="126"/>
      <c r="N3769" s="126"/>
      <c r="O3769" s="126"/>
      <c r="P3769" s="126"/>
      <c r="Q3769" s="126"/>
    </row>
    <row r="3770" spans="11:17" ht="12.75">
      <c r="K3770" s="118"/>
      <c r="L3770" s="118"/>
      <c r="M3770" s="126"/>
      <c r="N3770" s="126"/>
      <c r="O3770" s="126"/>
      <c r="P3770" s="126"/>
      <c r="Q3770" s="126"/>
    </row>
    <row r="3771" spans="11:17" ht="12.75">
      <c r="K3771" s="118"/>
      <c r="L3771" s="118"/>
      <c r="M3771" s="126"/>
      <c r="N3771" s="126"/>
      <c r="O3771" s="126"/>
      <c r="P3771" s="126"/>
      <c r="Q3771" s="126"/>
    </row>
    <row r="3772" spans="11:17" ht="12.75">
      <c r="K3772" s="118"/>
      <c r="L3772" s="118"/>
      <c r="M3772" s="126"/>
      <c r="N3772" s="126"/>
      <c r="O3772" s="126"/>
      <c r="P3772" s="126"/>
      <c r="Q3772" s="126"/>
    </row>
    <row r="3773" spans="11:17" ht="12.75">
      <c r="K3773" s="118"/>
      <c r="L3773" s="118"/>
      <c r="M3773" s="126"/>
      <c r="N3773" s="126"/>
      <c r="O3773" s="126"/>
      <c r="P3773" s="126"/>
      <c r="Q3773" s="126"/>
    </row>
    <row r="3774" spans="11:17" ht="12.75">
      <c r="K3774" s="118"/>
      <c r="L3774" s="118"/>
      <c r="M3774" s="126"/>
      <c r="N3774" s="126"/>
      <c r="O3774" s="126"/>
      <c r="P3774" s="126"/>
      <c r="Q3774" s="126"/>
    </row>
    <row r="3775" spans="11:17" ht="12.75">
      <c r="K3775" s="118"/>
      <c r="L3775" s="118"/>
      <c r="M3775" s="126"/>
      <c r="N3775" s="126"/>
      <c r="O3775" s="126"/>
      <c r="P3775" s="126"/>
      <c r="Q3775" s="126"/>
    </row>
    <row r="3776" spans="11:17" ht="12.75">
      <c r="K3776" s="118"/>
      <c r="L3776" s="118"/>
      <c r="M3776" s="126"/>
      <c r="N3776" s="126"/>
      <c r="O3776" s="126"/>
      <c r="P3776" s="126"/>
      <c r="Q3776" s="126"/>
    </row>
    <row r="3777" spans="11:17" ht="12.75">
      <c r="K3777" s="118"/>
      <c r="L3777" s="118"/>
      <c r="M3777" s="126"/>
      <c r="N3777" s="126"/>
      <c r="O3777" s="126"/>
      <c r="P3777" s="126"/>
      <c r="Q3777" s="126"/>
    </row>
    <row r="3778" spans="11:17" ht="12.75">
      <c r="K3778" s="118"/>
      <c r="L3778" s="118"/>
      <c r="M3778" s="126"/>
      <c r="N3778" s="126"/>
      <c r="O3778" s="126"/>
      <c r="P3778" s="126"/>
      <c r="Q3778" s="126"/>
    </row>
    <row r="3779" spans="11:17" ht="12.75">
      <c r="K3779" s="118"/>
      <c r="L3779" s="118"/>
      <c r="M3779" s="126"/>
      <c r="N3779" s="126"/>
      <c r="O3779" s="126"/>
      <c r="P3779" s="126"/>
      <c r="Q3779" s="126"/>
    </row>
    <row r="3780" spans="11:17" ht="12.75">
      <c r="K3780" s="118"/>
      <c r="L3780" s="118"/>
      <c r="M3780" s="126"/>
      <c r="N3780" s="126"/>
      <c r="O3780" s="126"/>
      <c r="P3780" s="126"/>
      <c r="Q3780" s="126"/>
    </row>
    <row r="3781" spans="11:17" ht="12.75">
      <c r="K3781" s="118"/>
      <c r="L3781" s="118"/>
      <c r="M3781" s="126"/>
      <c r="N3781" s="126"/>
      <c r="O3781" s="126"/>
      <c r="P3781" s="126"/>
      <c r="Q3781" s="126"/>
    </row>
    <row r="3782" spans="11:17" ht="12.75">
      <c r="K3782" s="118"/>
      <c r="L3782" s="118"/>
      <c r="M3782" s="126"/>
      <c r="N3782" s="126"/>
      <c r="O3782" s="126"/>
      <c r="P3782" s="126"/>
      <c r="Q3782" s="126"/>
    </row>
    <row r="3783" spans="11:17" ht="12.75">
      <c r="K3783" s="118"/>
      <c r="L3783" s="118"/>
      <c r="M3783" s="126"/>
      <c r="N3783" s="126"/>
      <c r="O3783" s="126"/>
      <c r="P3783" s="126"/>
      <c r="Q3783" s="126"/>
    </row>
    <row r="3784" spans="11:17" ht="12.75">
      <c r="K3784" s="118"/>
      <c r="L3784" s="118"/>
      <c r="M3784" s="126"/>
      <c r="N3784" s="126"/>
      <c r="O3784" s="126"/>
      <c r="P3784" s="126"/>
      <c r="Q3784" s="126"/>
    </row>
    <row r="3785" spans="11:17" ht="12.75">
      <c r="K3785" s="118"/>
      <c r="L3785" s="118"/>
      <c r="M3785" s="126"/>
      <c r="N3785" s="126"/>
      <c r="O3785" s="126"/>
      <c r="P3785" s="126"/>
      <c r="Q3785" s="126"/>
    </row>
    <row r="3786" spans="11:17" ht="12.75">
      <c r="K3786" s="118"/>
      <c r="L3786" s="118"/>
      <c r="M3786" s="126"/>
      <c r="N3786" s="126"/>
      <c r="O3786" s="126"/>
      <c r="P3786" s="126"/>
      <c r="Q3786" s="126"/>
    </row>
    <row r="3787" spans="11:17" ht="12.75">
      <c r="K3787" s="118"/>
      <c r="L3787" s="118"/>
      <c r="M3787" s="126"/>
      <c r="N3787" s="126"/>
      <c r="O3787" s="126"/>
      <c r="P3787" s="126"/>
      <c r="Q3787" s="126"/>
    </row>
    <row r="3788" spans="11:17" ht="12.75">
      <c r="K3788" s="118"/>
      <c r="L3788" s="118"/>
      <c r="M3788" s="126"/>
      <c r="N3788" s="126"/>
      <c r="O3788" s="126"/>
      <c r="P3788" s="126"/>
      <c r="Q3788" s="126"/>
    </row>
    <row r="3789" spans="11:17" ht="12.75">
      <c r="K3789" s="118"/>
      <c r="L3789" s="118"/>
      <c r="M3789" s="126"/>
      <c r="N3789" s="126"/>
      <c r="O3789" s="126"/>
      <c r="P3789" s="126"/>
      <c r="Q3789" s="126"/>
    </row>
    <row r="3790" spans="11:17" ht="12.75">
      <c r="K3790" s="118"/>
      <c r="L3790" s="118"/>
      <c r="M3790" s="126"/>
      <c r="N3790" s="126"/>
      <c r="O3790" s="126"/>
      <c r="P3790" s="126"/>
      <c r="Q3790" s="126"/>
    </row>
    <row r="3791" spans="11:17" ht="12.75">
      <c r="K3791" s="118"/>
      <c r="L3791" s="118"/>
      <c r="M3791" s="126"/>
      <c r="N3791" s="126"/>
      <c r="O3791" s="126"/>
      <c r="P3791" s="126"/>
      <c r="Q3791" s="126"/>
    </row>
    <row r="3792" spans="11:17" ht="12.75">
      <c r="K3792" s="118"/>
      <c r="L3792" s="118"/>
      <c r="M3792" s="126"/>
      <c r="N3792" s="126"/>
      <c r="O3792" s="126"/>
      <c r="P3792" s="126"/>
      <c r="Q3792" s="126"/>
    </row>
    <row r="3793" spans="11:17" ht="12.75">
      <c r="K3793" s="118"/>
      <c r="L3793" s="118"/>
      <c r="M3793" s="126"/>
      <c r="N3793" s="126"/>
      <c r="O3793" s="126"/>
      <c r="P3793" s="126"/>
      <c r="Q3793" s="126"/>
    </row>
    <row r="3794" spans="11:17" ht="12.75">
      <c r="K3794" s="118"/>
      <c r="L3794" s="118"/>
      <c r="M3794" s="126"/>
      <c r="N3794" s="126"/>
      <c r="O3794" s="126"/>
      <c r="P3794" s="126"/>
      <c r="Q3794" s="126"/>
    </row>
    <row r="3795" spans="11:17" ht="12.75">
      <c r="K3795" s="118"/>
      <c r="L3795" s="118"/>
      <c r="M3795" s="126"/>
      <c r="N3795" s="126"/>
      <c r="O3795" s="126"/>
      <c r="P3795" s="126"/>
      <c r="Q3795" s="126"/>
    </row>
    <row r="3796" spans="11:17" ht="12.75">
      <c r="K3796" s="118"/>
      <c r="L3796" s="118"/>
      <c r="M3796" s="126"/>
      <c r="N3796" s="126"/>
      <c r="O3796" s="126"/>
      <c r="P3796" s="126"/>
      <c r="Q3796" s="126"/>
    </row>
    <row r="3797" spans="11:17" ht="12.75">
      <c r="K3797" s="118"/>
      <c r="L3797" s="118"/>
      <c r="M3797" s="126"/>
      <c r="N3797" s="126"/>
      <c r="O3797" s="126"/>
      <c r="P3797" s="126"/>
      <c r="Q3797" s="126"/>
    </row>
    <row r="3798" spans="11:17" ht="12.75">
      <c r="K3798" s="118"/>
      <c r="L3798" s="118"/>
      <c r="M3798" s="126"/>
      <c r="N3798" s="126"/>
      <c r="O3798" s="126"/>
      <c r="P3798" s="126"/>
      <c r="Q3798" s="126"/>
    </row>
    <row r="3799" spans="11:17" ht="12.75">
      <c r="K3799" s="118"/>
      <c r="L3799" s="118"/>
      <c r="M3799" s="126"/>
      <c r="N3799" s="126"/>
      <c r="O3799" s="126"/>
      <c r="P3799" s="126"/>
      <c r="Q3799" s="126"/>
    </row>
    <row r="3800" spans="11:17" ht="12.75">
      <c r="K3800" s="118"/>
      <c r="L3800" s="118"/>
      <c r="M3800" s="126"/>
      <c r="N3800" s="126"/>
      <c r="O3800" s="126"/>
      <c r="P3800" s="126"/>
      <c r="Q3800" s="126"/>
    </row>
    <row r="3801" spans="11:17" ht="12.75">
      <c r="K3801" s="118"/>
      <c r="L3801" s="118"/>
      <c r="M3801" s="126"/>
      <c r="N3801" s="126"/>
      <c r="O3801" s="126"/>
      <c r="P3801" s="126"/>
      <c r="Q3801" s="126"/>
    </row>
    <row r="3802" spans="11:17" ht="12.75">
      <c r="K3802" s="118"/>
      <c r="L3802" s="118"/>
      <c r="M3802" s="126"/>
      <c r="N3802" s="126"/>
      <c r="O3802" s="126"/>
      <c r="P3802" s="126"/>
      <c r="Q3802" s="126"/>
    </row>
    <row r="3803" spans="11:17" ht="12.75">
      <c r="K3803" s="118"/>
      <c r="L3803" s="118"/>
      <c r="M3803" s="126"/>
      <c r="N3803" s="126"/>
      <c r="O3803" s="126"/>
      <c r="P3803" s="126"/>
      <c r="Q3803" s="126"/>
    </row>
    <row r="3804" spans="11:17" ht="12.75">
      <c r="K3804" s="118"/>
      <c r="L3804" s="118"/>
      <c r="M3804" s="126"/>
      <c r="N3804" s="126"/>
      <c r="O3804" s="126"/>
      <c r="P3804" s="126"/>
      <c r="Q3804" s="126"/>
    </row>
    <row r="3805" spans="11:17" ht="12.75">
      <c r="K3805" s="118"/>
      <c r="L3805" s="118"/>
      <c r="M3805" s="126"/>
      <c r="N3805" s="126"/>
      <c r="O3805" s="126"/>
      <c r="P3805" s="126"/>
      <c r="Q3805" s="126"/>
    </row>
    <row r="3806" spans="11:17" ht="12.75">
      <c r="K3806" s="118"/>
      <c r="L3806" s="118"/>
      <c r="M3806" s="126"/>
      <c r="N3806" s="126"/>
      <c r="O3806" s="126"/>
      <c r="P3806" s="126"/>
      <c r="Q3806" s="126"/>
    </row>
    <row r="3807" spans="11:17" ht="12.75">
      <c r="K3807" s="118"/>
      <c r="L3807" s="118"/>
      <c r="M3807" s="126"/>
      <c r="N3807" s="126"/>
      <c r="O3807" s="126"/>
      <c r="P3807" s="126"/>
      <c r="Q3807" s="126"/>
    </row>
    <row r="3808" spans="11:17" ht="12.75">
      <c r="K3808" s="118"/>
      <c r="L3808" s="118"/>
      <c r="M3808" s="126"/>
      <c r="N3808" s="126"/>
      <c r="O3808" s="126"/>
      <c r="P3808" s="126"/>
      <c r="Q3808" s="126"/>
    </row>
    <row r="3809" spans="11:17" ht="12.75">
      <c r="K3809" s="118"/>
      <c r="L3809" s="118"/>
      <c r="M3809" s="126"/>
      <c r="N3809" s="126"/>
      <c r="O3809" s="126"/>
      <c r="P3809" s="126"/>
      <c r="Q3809" s="126"/>
    </row>
    <row r="3810" spans="11:17" ht="12.75">
      <c r="K3810" s="118"/>
      <c r="L3810" s="118"/>
      <c r="M3810" s="126"/>
      <c r="N3810" s="126"/>
      <c r="O3810" s="126"/>
      <c r="P3810" s="126"/>
      <c r="Q3810" s="126"/>
    </row>
    <row r="3811" spans="11:17" ht="12.75">
      <c r="K3811" s="118"/>
      <c r="L3811" s="118"/>
      <c r="M3811" s="126"/>
      <c r="N3811" s="126"/>
      <c r="O3811" s="126"/>
      <c r="P3811" s="126"/>
      <c r="Q3811" s="126"/>
    </row>
    <row r="3812" spans="11:17" ht="12.75">
      <c r="K3812" s="118"/>
      <c r="L3812" s="118"/>
      <c r="M3812" s="126"/>
      <c r="N3812" s="126"/>
      <c r="O3812" s="126"/>
      <c r="P3812" s="126"/>
      <c r="Q3812" s="126"/>
    </row>
    <row r="3813" spans="11:17" ht="12.75">
      <c r="K3813" s="118"/>
      <c r="L3813" s="118"/>
      <c r="M3813" s="126"/>
      <c r="N3813" s="126"/>
      <c r="O3813" s="126"/>
      <c r="P3813" s="126"/>
      <c r="Q3813" s="126"/>
    </row>
    <row r="3814" spans="11:17" ht="12.75">
      <c r="K3814" s="118"/>
      <c r="L3814" s="118"/>
      <c r="M3814" s="126"/>
      <c r="N3814" s="126"/>
      <c r="O3814" s="126"/>
      <c r="P3814" s="126"/>
      <c r="Q3814" s="126"/>
    </row>
    <row r="3815" spans="11:17" ht="12.75">
      <c r="K3815" s="118"/>
      <c r="L3815" s="118"/>
      <c r="M3815" s="126"/>
      <c r="N3815" s="126"/>
      <c r="O3815" s="126"/>
      <c r="P3815" s="126"/>
      <c r="Q3815" s="126"/>
    </row>
    <row r="3816" spans="11:17" ht="12.75">
      <c r="K3816" s="118"/>
      <c r="L3816" s="118"/>
      <c r="M3816" s="126"/>
      <c r="N3816" s="126"/>
      <c r="O3816" s="126"/>
      <c r="P3816" s="126"/>
      <c r="Q3816" s="126"/>
    </row>
    <row r="3817" spans="11:17" ht="12.75">
      <c r="K3817" s="118"/>
      <c r="L3817" s="118"/>
      <c r="M3817" s="126"/>
      <c r="N3817" s="126"/>
      <c r="O3817" s="126"/>
      <c r="P3817" s="126"/>
      <c r="Q3817" s="126"/>
    </row>
    <row r="3818" spans="11:17" ht="12.75">
      <c r="K3818" s="118"/>
      <c r="L3818" s="118"/>
      <c r="M3818" s="126"/>
      <c r="N3818" s="126"/>
      <c r="O3818" s="126"/>
      <c r="P3818" s="126"/>
      <c r="Q3818" s="126"/>
    </row>
    <row r="3819" spans="11:17" ht="12.75">
      <c r="K3819" s="118"/>
      <c r="L3819" s="118"/>
      <c r="M3819" s="126"/>
      <c r="N3819" s="126"/>
      <c r="O3819" s="126"/>
      <c r="P3819" s="126"/>
      <c r="Q3819" s="126"/>
    </row>
    <row r="3820" spans="11:17" ht="12.75">
      <c r="K3820" s="118"/>
      <c r="L3820" s="118"/>
      <c r="M3820" s="126"/>
      <c r="N3820" s="126"/>
      <c r="O3820" s="126"/>
      <c r="P3820" s="126"/>
      <c r="Q3820" s="126"/>
    </row>
    <row r="3821" spans="11:17" ht="12.75">
      <c r="K3821" s="118"/>
      <c r="L3821" s="118"/>
      <c r="M3821" s="126"/>
      <c r="N3821" s="126"/>
      <c r="O3821" s="126"/>
      <c r="P3821" s="126"/>
      <c r="Q3821" s="126"/>
    </row>
    <row r="3822" spans="11:17" ht="12.75">
      <c r="K3822" s="118"/>
      <c r="L3822" s="118"/>
      <c r="M3822" s="126"/>
      <c r="N3822" s="126"/>
      <c r="O3822" s="126"/>
      <c r="P3822" s="126"/>
      <c r="Q3822" s="126"/>
    </row>
    <row r="3823" spans="11:17" ht="12.75">
      <c r="K3823" s="118"/>
      <c r="L3823" s="118"/>
      <c r="M3823" s="126"/>
      <c r="N3823" s="126"/>
      <c r="O3823" s="126"/>
      <c r="P3823" s="126"/>
      <c r="Q3823" s="126"/>
    </row>
    <row r="3824" spans="11:17" ht="12.75">
      <c r="K3824" s="118"/>
      <c r="L3824" s="118"/>
      <c r="M3824" s="126"/>
      <c r="N3824" s="126"/>
      <c r="O3824" s="126"/>
      <c r="P3824" s="126"/>
      <c r="Q3824" s="126"/>
    </row>
    <row r="3825" spans="11:17" ht="12.75">
      <c r="K3825" s="118"/>
      <c r="L3825" s="118"/>
      <c r="M3825" s="126"/>
      <c r="N3825" s="126"/>
      <c r="O3825" s="126"/>
      <c r="P3825" s="126"/>
      <c r="Q3825" s="126"/>
    </row>
    <row r="3826" spans="11:17" ht="12.75">
      <c r="K3826" s="118"/>
      <c r="L3826" s="118"/>
      <c r="M3826" s="126"/>
      <c r="N3826" s="126"/>
      <c r="O3826" s="126"/>
      <c r="P3826" s="126"/>
      <c r="Q3826" s="126"/>
    </row>
    <row r="3827" spans="11:17" ht="12.75">
      <c r="K3827" s="118"/>
      <c r="L3827" s="118"/>
      <c r="M3827" s="126"/>
      <c r="N3827" s="126"/>
      <c r="O3827" s="126"/>
      <c r="P3827" s="126"/>
      <c r="Q3827" s="126"/>
    </row>
    <row r="3828" spans="11:17" ht="12.75">
      <c r="K3828" s="118"/>
      <c r="L3828" s="118"/>
      <c r="M3828" s="126"/>
      <c r="N3828" s="126"/>
      <c r="O3828" s="126"/>
      <c r="P3828" s="126"/>
      <c r="Q3828" s="126"/>
    </row>
    <row r="3829" spans="11:17" ht="12.75">
      <c r="K3829" s="118"/>
      <c r="L3829" s="118"/>
      <c r="M3829" s="126"/>
      <c r="N3829" s="126"/>
      <c r="O3829" s="126"/>
      <c r="P3829" s="126"/>
      <c r="Q3829" s="126"/>
    </row>
    <row r="3830" spans="11:17" ht="12.75">
      <c r="K3830" s="118"/>
      <c r="L3830" s="118"/>
      <c r="M3830" s="126"/>
      <c r="N3830" s="126"/>
      <c r="O3830" s="126"/>
      <c r="P3830" s="126"/>
      <c r="Q3830" s="126"/>
    </row>
    <row r="3831" spans="11:17" ht="12.75">
      <c r="K3831" s="118"/>
      <c r="L3831" s="118"/>
      <c r="M3831" s="126"/>
      <c r="N3831" s="126"/>
      <c r="O3831" s="126"/>
      <c r="P3831" s="126"/>
      <c r="Q3831" s="126"/>
    </row>
    <row r="3832" spans="11:17" ht="12.75">
      <c r="K3832" s="118"/>
      <c r="L3832" s="118"/>
      <c r="M3832" s="126"/>
      <c r="N3832" s="126"/>
      <c r="O3832" s="126"/>
      <c r="P3832" s="126"/>
      <c r="Q3832" s="126"/>
    </row>
    <row r="3833" spans="11:17" ht="12.75">
      <c r="K3833" s="118"/>
      <c r="L3833" s="118"/>
      <c r="M3833" s="126"/>
      <c r="N3833" s="126"/>
      <c r="O3833" s="126"/>
      <c r="P3833" s="126"/>
      <c r="Q3833" s="126"/>
    </row>
    <row r="3834" spans="11:17" ht="12.75">
      <c r="K3834" s="118"/>
      <c r="L3834" s="118"/>
      <c r="M3834" s="126"/>
      <c r="N3834" s="126"/>
      <c r="O3834" s="126"/>
      <c r="P3834" s="126"/>
      <c r="Q3834" s="126"/>
    </row>
    <row r="3835" spans="11:17" ht="12.75">
      <c r="K3835" s="118"/>
      <c r="L3835" s="118"/>
      <c r="M3835" s="126"/>
      <c r="N3835" s="126"/>
      <c r="O3835" s="126"/>
      <c r="P3835" s="126"/>
      <c r="Q3835" s="126"/>
    </row>
    <row r="3836" spans="11:17" ht="12.75">
      <c r="K3836" s="118"/>
      <c r="L3836" s="118"/>
      <c r="M3836" s="126"/>
      <c r="N3836" s="126"/>
      <c r="O3836" s="126"/>
      <c r="P3836" s="126"/>
      <c r="Q3836" s="126"/>
    </row>
    <row r="3837" spans="11:17" ht="12.75">
      <c r="K3837" s="118"/>
      <c r="L3837" s="118"/>
      <c r="M3837" s="126"/>
      <c r="N3837" s="126"/>
      <c r="O3837" s="126"/>
      <c r="P3837" s="126"/>
      <c r="Q3837" s="126"/>
    </row>
    <row r="3838" spans="11:17" ht="12.75">
      <c r="K3838" s="118"/>
      <c r="L3838" s="118"/>
      <c r="M3838" s="126"/>
      <c r="N3838" s="126"/>
      <c r="O3838" s="126"/>
      <c r="P3838" s="126"/>
      <c r="Q3838" s="126"/>
    </row>
    <row r="3839" spans="11:17" ht="12.75">
      <c r="K3839" s="118"/>
      <c r="L3839" s="118"/>
      <c r="M3839" s="126"/>
      <c r="N3839" s="126"/>
      <c r="O3839" s="126"/>
      <c r="P3839" s="126"/>
      <c r="Q3839" s="126"/>
    </row>
    <row r="3840" spans="11:17" ht="12.75">
      <c r="K3840" s="118"/>
      <c r="L3840" s="118"/>
      <c r="M3840" s="126"/>
      <c r="N3840" s="126"/>
      <c r="O3840" s="126"/>
      <c r="P3840" s="126"/>
      <c r="Q3840" s="126"/>
    </row>
    <row r="3841" spans="11:17" ht="12.75">
      <c r="K3841" s="118"/>
      <c r="L3841" s="118"/>
      <c r="M3841" s="126"/>
      <c r="N3841" s="126"/>
      <c r="O3841" s="126"/>
      <c r="P3841" s="126"/>
      <c r="Q3841" s="126"/>
    </row>
    <row r="3842" spans="11:17" ht="12.75">
      <c r="K3842" s="118"/>
      <c r="L3842" s="118"/>
      <c r="M3842" s="126"/>
      <c r="N3842" s="126"/>
      <c r="O3842" s="126"/>
      <c r="P3842" s="126"/>
      <c r="Q3842" s="126"/>
    </row>
    <row r="3843" spans="11:17" ht="12.75">
      <c r="K3843" s="118"/>
      <c r="L3843" s="118"/>
      <c r="M3843" s="126"/>
      <c r="N3843" s="126"/>
      <c r="O3843" s="126"/>
      <c r="P3843" s="126"/>
      <c r="Q3843" s="126"/>
    </row>
    <row r="3844" spans="11:17" ht="12.75">
      <c r="K3844" s="118"/>
      <c r="L3844" s="118"/>
      <c r="M3844" s="126"/>
      <c r="N3844" s="126"/>
      <c r="O3844" s="126"/>
      <c r="P3844" s="126"/>
      <c r="Q3844" s="126"/>
    </row>
    <row r="3845" spans="11:17" ht="12.75">
      <c r="K3845" s="118"/>
      <c r="L3845" s="118"/>
      <c r="M3845" s="126"/>
      <c r="N3845" s="126"/>
      <c r="O3845" s="126"/>
      <c r="P3845" s="126"/>
      <c r="Q3845" s="126"/>
    </row>
    <row r="3846" spans="11:17" ht="12.75">
      <c r="K3846" s="118"/>
      <c r="L3846" s="118"/>
      <c r="M3846" s="126"/>
      <c r="N3846" s="126"/>
      <c r="O3846" s="126"/>
      <c r="P3846" s="126"/>
      <c r="Q3846" s="126"/>
    </row>
    <row r="3847" spans="11:17" ht="12.75">
      <c r="K3847" s="118"/>
      <c r="L3847" s="118"/>
      <c r="M3847" s="126"/>
      <c r="N3847" s="126"/>
      <c r="O3847" s="126"/>
      <c r="P3847" s="126"/>
      <c r="Q3847" s="126"/>
    </row>
    <row r="3848" spans="11:17" ht="12.75">
      <c r="K3848" s="118"/>
      <c r="L3848" s="118"/>
      <c r="M3848" s="126"/>
      <c r="N3848" s="126"/>
      <c r="O3848" s="126"/>
      <c r="P3848" s="126"/>
      <c r="Q3848" s="126"/>
    </row>
    <row r="3849" spans="11:17" ht="12.75">
      <c r="K3849" s="118"/>
      <c r="L3849" s="118"/>
      <c r="M3849" s="126"/>
      <c r="N3849" s="126"/>
      <c r="O3849" s="126"/>
      <c r="P3849" s="126"/>
      <c r="Q3849" s="126"/>
    </row>
    <row r="3850" spans="11:17" ht="12.75">
      <c r="K3850" s="118"/>
      <c r="L3850" s="118"/>
      <c r="M3850" s="126"/>
      <c r="N3850" s="126"/>
      <c r="O3850" s="126"/>
      <c r="P3850" s="126"/>
      <c r="Q3850" s="126"/>
    </row>
    <row r="3851" spans="11:17" ht="12.75">
      <c r="K3851" s="118"/>
      <c r="L3851" s="118"/>
      <c r="M3851" s="126"/>
      <c r="N3851" s="126"/>
      <c r="O3851" s="126"/>
      <c r="P3851" s="126"/>
      <c r="Q3851" s="126"/>
    </row>
    <row r="3852" spans="11:17" ht="12.75">
      <c r="K3852" s="118"/>
      <c r="L3852" s="118"/>
      <c r="M3852" s="126"/>
      <c r="N3852" s="126"/>
      <c r="O3852" s="126"/>
      <c r="P3852" s="126"/>
      <c r="Q3852" s="126"/>
    </row>
    <row r="3853" spans="11:17" ht="12.75">
      <c r="K3853" s="118"/>
      <c r="L3853" s="118"/>
      <c r="M3853" s="126"/>
      <c r="N3853" s="126"/>
      <c r="O3853" s="126"/>
      <c r="P3853" s="126"/>
      <c r="Q3853" s="126"/>
    </row>
    <row r="3854" spans="11:17" ht="12.75">
      <c r="K3854" s="118"/>
      <c r="L3854" s="118"/>
      <c r="M3854" s="126"/>
      <c r="N3854" s="126"/>
      <c r="O3854" s="126"/>
      <c r="P3854" s="126"/>
      <c r="Q3854" s="126"/>
    </row>
    <row r="3855" spans="11:17" ht="12.75">
      <c r="K3855" s="118"/>
      <c r="L3855" s="118"/>
      <c r="M3855" s="126"/>
      <c r="N3855" s="126"/>
      <c r="O3855" s="126"/>
      <c r="P3855" s="126"/>
      <c r="Q3855" s="126"/>
    </row>
    <row r="3856" spans="11:17" ht="12.75">
      <c r="K3856" s="118"/>
      <c r="L3856" s="118"/>
      <c r="M3856" s="126"/>
      <c r="N3856" s="126"/>
      <c r="O3856" s="126"/>
      <c r="P3856" s="126"/>
      <c r="Q3856" s="126"/>
    </row>
    <row r="3857" spans="11:17" ht="12.75">
      <c r="K3857" s="118"/>
      <c r="L3857" s="118"/>
      <c r="M3857" s="126"/>
      <c r="N3857" s="126"/>
      <c r="O3857" s="126"/>
      <c r="P3857" s="126"/>
      <c r="Q3857" s="126"/>
    </row>
    <row r="3858" spans="11:17" ht="12.75">
      <c r="K3858" s="118"/>
      <c r="L3858" s="118"/>
      <c r="M3858" s="126"/>
      <c r="N3858" s="126"/>
      <c r="O3858" s="126"/>
      <c r="P3858" s="126"/>
      <c r="Q3858" s="126"/>
    </row>
    <row r="3859" spans="11:17" ht="12.75">
      <c r="K3859" s="118"/>
      <c r="L3859" s="118"/>
      <c r="M3859" s="126"/>
      <c r="N3859" s="126"/>
      <c r="O3859" s="126"/>
      <c r="P3859" s="126"/>
      <c r="Q3859" s="126"/>
    </row>
    <row r="3860" spans="11:17" ht="12.75">
      <c r="K3860" s="118"/>
      <c r="L3860" s="118"/>
      <c r="M3860" s="126"/>
      <c r="N3860" s="126"/>
      <c r="O3860" s="126"/>
      <c r="P3860" s="126"/>
      <c r="Q3860" s="126"/>
    </row>
    <row r="3861" spans="11:17" ht="12.75">
      <c r="K3861" s="118"/>
      <c r="L3861" s="118"/>
      <c r="M3861" s="126"/>
      <c r="N3861" s="126"/>
      <c r="O3861" s="126"/>
      <c r="P3861" s="126"/>
      <c r="Q3861" s="126"/>
    </row>
    <row r="3862" spans="11:17" ht="12.75">
      <c r="K3862" s="118"/>
      <c r="L3862" s="118"/>
      <c r="M3862" s="126"/>
      <c r="N3862" s="126"/>
      <c r="O3862" s="126"/>
      <c r="P3862" s="126"/>
      <c r="Q3862" s="126"/>
    </row>
    <row r="3863" spans="11:17" ht="12.75">
      <c r="K3863" s="118"/>
      <c r="L3863" s="118"/>
      <c r="M3863" s="126"/>
      <c r="N3863" s="126"/>
      <c r="O3863" s="126"/>
      <c r="P3863" s="126"/>
      <c r="Q3863" s="126"/>
    </row>
    <row r="3864" spans="11:17" ht="12.75">
      <c r="K3864" s="118"/>
      <c r="L3864" s="118"/>
      <c r="M3864" s="126"/>
      <c r="N3864" s="126"/>
      <c r="O3864" s="126"/>
      <c r="P3864" s="126"/>
      <c r="Q3864" s="126"/>
    </row>
    <row r="3865" spans="11:17" ht="12.75">
      <c r="K3865" s="118"/>
      <c r="L3865" s="118"/>
      <c r="M3865" s="126"/>
      <c r="N3865" s="126"/>
      <c r="O3865" s="126"/>
      <c r="P3865" s="126"/>
      <c r="Q3865" s="126"/>
    </row>
    <row r="3866" spans="11:17" ht="12.75">
      <c r="K3866" s="118"/>
      <c r="L3866" s="118"/>
      <c r="M3866" s="126"/>
      <c r="N3866" s="126"/>
      <c r="O3866" s="126"/>
      <c r="P3866" s="126"/>
      <c r="Q3866" s="126"/>
    </row>
    <row r="3867" spans="11:17" ht="12.75">
      <c r="K3867" s="118"/>
      <c r="L3867" s="118"/>
      <c r="M3867" s="126"/>
      <c r="N3867" s="126"/>
      <c r="O3867" s="126"/>
      <c r="P3867" s="126"/>
      <c r="Q3867" s="126"/>
    </row>
    <row r="3868" spans="11:17" ht="12.75">
      <c r="K3868" s="118"/>
      <c r="L3868" s="118"/>
      <c r="M3868" s="126"/>
      <c r="N3868" s="126"/>
      <c r="O3868" s="126"/>
      <c r="P3868" s="126"/>
      <c r="Q3868" s="126"/>
    </row>
    <row r="3869" spans="11:17" ht="12.75">
      <c r="K3869" s="118"/>
      <c r="L3869" s="118"/>
      <c r="M3869" s="126"/>
      <c r="N3869" s="126"/>
      <c r="O3869" s="126"/>
      <c r="P3869" s="126"/>
      <c r="Q3869" s="126"/>
    </row>
    <row r="3870" spans="11:17" ht="12.75">
      <c r="K3870" s="118"/>
      <c r="L3870" s="118"/>
      <c r="M3870" s="126"/>
      <c r="N3870" s="126"/>
      <c r="O3870" s="126"/>
      <c r="P3870" s="126"/>
      <c r="Q3870" s="126"/>
    </row>
    <row r="3871" spans="11:17" ht="12.75">
      <c r="K3871" s="118"/>
      <c r="L3871" s="118"/>
      <c r="M3871" s="126"/>
      <c r="N3871" s="126"/>
      <c r="O3871" s="126"/>
      <c r="P3871" s="126"/>
      <c r="Q3871" s="126"/>
    </row>
    <row r="3872" spans="11:17" ht="12.75">
      <c r="K3872" s="118"/>
      <c r="L3872" s="118"/>
      <c r="M3872" s="126"/>
      <c r="N3872" s="126"/>
      <c r="O3872" s="126"/>
      <c r="P3872" s="126"/>
      <c r="Q3872" s="126"/>
    </row>
    <row r="3873" spans="11:17" ht="12.75">
      <c r="K3873" s="118"/>
      <c r="L3873" s="118"/>
      <c r="M3873" s="126"/>
      <c r="N3873" s="126"/>
      <c r="O3873" s="126"/>
      <c r="P3873" s="126"/>
      <c r="Q3873" s="126"/>
    </row>
    <row r="3874" spans="11:17" ht="12.75">
      <c r="K3874" s="118"/>
      <c r="L3874" s="118"/>
      <c r="M3874" s="126"/>
      <c r="N3874" s="126"/>
      <c r="O3874" s="126"/>
      <c r="P3874" s="126"/>
      <c r="Q3874" s="126"/>
    </row>
    <row r="3875" spans="11:17" ht="12.75">
      <c r="K3875" s="118"/>
      <c r="L3875" s="118"/>
      <c r="M3875" s="126"/>
      <c r="N3875" s="126"/>
      <c r="O3875" s="126"/>
      <c r="P3875" s="126"/>
      <c r="Q3875" s="126"/>
    </row>
    <row r="3876" spans="11:17" ht="12.75">
      <c r="K3876" s="118"/>
      <c r="L3876" s="118"/>
      <c r="M3876" s="126"/>
      <c r="N3876" s="126"/>
      <c r="O3876" s="126"/>
      <c r="P3876" s="126"/>
      <c r="Q3876" s="126"/>
    </row>
    <row r="3877" spans="11:17" ht="12.75">
      <c r="K3877" s="118"/>
      <c r="L3877" s="118"/>
      <c r="M3877" s="126"/>
      <c r="N3877" s="126"/>
      <c r="O3877" s="126"/>
      <c r="P3877" s="126"/>
      <c r="Q3877" s="126"/>
    </row>
    <row r="3878" spans="11:17" ht="12.75">
      <c r="K3878" s="118"/>
      <c r="L3878" s="118"/>
      <c r="M3878" s="126"/>
      <c r="N3878" s="126"/>
      <c r="O3878" s="126"/>
      <c r="P3878" s="126"/>
      <c r="Q3878" s="126"/>
    </row>
    <row r="3879" spans="11:17" ht="12.75">
      <c r="K3879" s="118"/>
      <c r="L3879" s="118"/>
      <c r="M3879" s="126"/>
      <c r="N3879" s="126"/>
      <c r="O3879" s="126"/>
      <c r="P3879" s="126"/>
      <c r="Q3879" s="126"/>
    </row>
    <row r="3880" spans="11:17" ht="12.75">
      <c r="K3880" s="118"/>
      <c r="L3880" s="118"/>
      <c r="M3880" s="126"/>
      <c r="N3880" s="126"/>
      <c r="O3880" s="126"/>
      <c r="P3880" s="126"/>
      <c r="Q3880" s="126"/>
    </row>
    <row r="3881" spans="11:17" ht="12.75">
      <c r="K3881" s="118"/>
      <c r="L3881" s="118"/>
      <c r="M3881" s="126"/>
      <c r="N3881" s="126"/>
      <c r="O3881" s="126"/>
      <c r="P3881" s="126"/>
      <c r="Q3881" s="126"/>
    </row>
    <row r="3882" spans="11:17" ht="12.75">
      <c r="K3882" s="118"/>
      <c r="L3882" s="118"/>
      <c r="M3882" s="126"/>
      <c r="N3882" s="126"/>
      <c r="O3882" s="126"/>
      <c r="P3882" s="126"/>
      <c r="Q3882" s="126"/>
    </row>
    <row r="3883" spans="11:17" ht="12.75">
      <c r="K3883" s="118"/>
      <c r="L3883" s="118"/>
      <c r="M3883" s="126"/>
      <c r="N3883" s="126"/>
      <c r="O3883" s="126"/>
      <c r="P3883" s="126"/>
      <c r="Q3883" s="126"/>
    </row>
    <row r="3884" spans="11:17" ht="12.75">
      <c r="K3884" s="118"/>
      <c r="L3884" s="118"/>
      <c r="M3884" s="126"/>
      <c r="N3884" s="126"/>
      <c r="O3884" s="126"/>
      <c r="P3884" s="126"/>
      <c r="Q3884" s="126"/>
    </row>
    <row r="3885" spans="11:17" ht="12.75">
      <c r="K3885" s="118"/>
      <c r="L3885" s="118"/>
      <c r="M3885" s="126"/>
      <c r="N3885" s="126"/>
      <c r="O3885" s="126"/>
      <c r="P3885" s="126"/>
      <c r="Q3885" s="126"/>
    </row>
    <row r="3886" spans="11:17" ht="12.75">
      <c r="K3886" s="118"/>
      <c r="L3886" s="118"/>
      <c r="M3886" s="126"/>
      <c r="N3886" s="126"/>
      <c r="O3886" s="126"/>
      <c r="P3886" s="126"/>
      <c r="Q3886" s="126"/>
    </row>
    <row r="3887" spans="11:17" ht="12.75">
      <c r="K3887" s="118"/>
      <c r="L3887" s="118"/>
      <c r="M3887" s="126"/>
      <c r="N3887" s="126"/>
      <c r="O3887" s="126"/>
      <c r="P3887" s="126"/>
      <c r="Q3887" s="126"/>
    </row>
    <row r="3888" spans="11:17" ht="12.75">
      <c r="K3888" s="118"/>
      <c r="L3888" s="118"/>
      <c r="M3888" s="126"/>
      <c r="N3888" s="126"/>
      <c r="O3888" s="126"/>
      <c r="P3888" s="126"/>
      <c r="Q3888" s="126"/>
    </row>
    <row r="3889" spans="11:17" ht="12.75">
      <c r="K3889" s="118"/>
      <c r="L3889" s="118"/>
      <c r="M3889" s="126"/>
      <c r="N3889" s="126"/>
      <c r="O3889" s="126"/>
      <c r="P3889" s="126"/>
      <c r="Q3889" s="126"/>
    </row>
    <row r="3890" spans="11:17" ht="12.75">
      <c r="K3890" s="118"/>
      <c r="L3890" s="118"/>
      <c r="M3890" s="126"/>
      <c r="N3890" s="126"/>
      <c r="O3890" s="126"/>
      <c r="P3890" s="126"/>
      <c r="Q3890" s="126"/>
    </row>
    <row r="3891" spans="11:17" ht="12.75">
      <c r="K3891" s="118"/>
      <c r="L3891" s="118"/>
      <c r="M3891" s="126"/>
      <c r="N3891" s="126"/>
      <c r="O3891" s="126"/>
      <c r="P3891" s="126"/>
      <c r="Q3891" s="126"/>
    </row>
    <row r="3892" spans="11:17" ht="12.75">
      <c r="K3892" s="118"/>
      <c r="L3892" s="118"/>
      <c r="M3892" s="126"/>
      <c r="N3892" s="126"/>
      <c r="O3892" s="126"/>
      <c r="P3892" s="126"/>
      <c r="Q3892" s="126"/>
    </row>
    <row r="3893" spans="11:17" ht="12.75">
      <c r="K3893" s="118"/>
      <c r="L3893" s="118"/>
      <c r="M3893" s="126"/>
      <c r="N3893" s="126"/>
      <c r="O3893" s="126"/>
      <c r="P3893" s="126"/>
      <c r="Q3893" s="126"/>
    </row>
    <row r="3894" spans="11:17" ht="12.75">
      <c r="K3894" s="118"/>
      <c r="L3894" s="118"/>
      <c r="M3894" s="126"/>
      <c r="N3894" s="126"/>
      <c r="O3894" s="126"/>
      <c r="P3894" s="126"/>
      <c r="Q3894" s="126"/>
    </row>
    <row r="3895" spans="11:17" ht="12.75">
      <c r="K3895" s="118"/>
      <c r="L3895" s="118"/>
      <c r="M3895" s="126"/>
      <c r="N3895" s="126"/>
      <c r="O3895" s="126"/>
      <c r="P3895" s="126"/>
      <c r="Q3895" s="126"/>
    </row>
    <row r="3896" spans="11:17" ht="12.75">
      <c r="K3896" s="118"/>
      <c r="L3896" s="118"/>
      <c r="M3896" s="126"/>
      <c r="N3896" s="126"/>
      <c r="O3896" s="126"/>
      <c r="P3896" s="126"/>
      <c r="Q3896" s="126"/>
    </row>
    <row r="3897" spans="11:17" ht="12.75">
      <c r="K3897" s="118"/>
      <c r="L3897" s="118"/>
      <c r="M3897" s="126"/>
      <c r="N3897" s="126"/>
      <c r="O3897" s="126"/>
      <c r="P3897" s="126"/>
      <c r="Q3897" s="126"/>
    </row>
    <row r="3898" spans="11:17" ht="12.75">
      <c r="K3898" s="118"/>
      <c r="L3898" s="118"/>
      <c r="M3898" s="126"/>
      <c r="N3898" s="126"/>
      <c r="O3898" s="126"/>
      <c r="P3898" s="126"/>
      <c r="Q3898" s="126"/>
    </row>
    <row r="3899" spans="11:17" ht="12.75">
      <c r="K3899" s="118"/>
      <c r="L3899" s="118"/>
      <c r="M3899" s="126"/>
      <c r="N3899" s="126"/>
      <c r="O3899" s="126"/>
      <c r="P3899" s="126"/>
      <c r="Q3899" s="126"/>
    </row>
    <row r="3900" spans="11:17" ht="12.75">
      <c r="K3900" s="118"/>
      <c r="L3900" s="118"/>
      <c r="M3900" s="126"/>
      <c r="N3900" s="126"/>
      <c r="O3900" s="126"/>
      <c r="P3900" s="126"/>
      <c r="Q3900" s="126"/>
    </row>
    <row r="3901" spans="11:17" ht="12.75">
      <c r="K3901" s="118"/>
      <c r="L3901" s="118"/>
      <c r="M3901" s="126"/>
      <c r="N3901" s="126"/>
      <c r="O3901" s="126"/>
      <c r="P3901" s="126"/>
      <c r="Q3901" s="126"/>
    </row>
    <row r="3902" spans="11:17" ht="12.75">
      <c r="K3902" s="118"/>
      <c r="L3902" s="118"/>
      <c r="M3902" s="126"/>
      <c r="N3902" s="126"/>
      <c r="O3902" s="126"/>
      <c r="P3902" s="126"/>
      <c r="Q3902" s="126"/>
    </row>
    <row r="3903" spans="11:17" ht="12.75">
      <c r="K3903" s="118"/>
      <c r="L3903" s="118"/>
      <c r="M3903" s="126"/>
      <c r="N3903" s="126"/>
      <c r="O3903" s="126"/>
      <c r="P3903" s="126"/>
      <c r="Q3903" s="126"/>
    </row>
    <row r="3904" spans="11:17" ht="12.75">
      <c r="K3904" s="118"/>
      <c r="L3904" s="118"/>
      <c r="M3904" s="126"/>
      <c r="N3904" s="126"/>
      <c r="O3904" s="126"/>
      <c r="P3904" s="126"/>
      <c r="Q3904" s="126"/>
    </row>
    <row r="3905" spans="11:17" ht="12.75">
      <c r="K3905" s="118"/>
      <c r="L3905" s="118"/>
      <c r="M3905" s="126"/>
      <c r="N3905" s="126"/>
      <c r="O3905" s="126"/>
      <c r="P3905" s="126"/>
      <c r="Q3905" s="126"/>
    </row>
    <row r="3906" spans="11:17" ht="12.75">
      <c r="K3906" s="118"/>
      <c r="L3906" s="118"/>
      <c r="M3906" s="126"/>
      <c r="N3906" s="126"/>
      <c r="O3906" s="126"/>
      <c r="P3906" s="126"/>
      <c r="Q3906" s="126"/>
    </row>
    <row r="3907" spans="11:17" ht="12.75">
      <c r="K3907" s="118"/>
      <c r="L3907" s="118"/>
      <c r="M3907" s="126"/>
      <c r="N3907" s="126"/>
      <c r="O3907" s="126"/>
      <c r="P3907" s="126"/>
      <c r="Q3907" s="126"/>
    </row>
    <row r="3908" spans="11:17" ht="12.75">
      <c r="K3908" s="118"/>
      <c r="L3908" s="118"/>
      <c r="M3908" s="126"/>
      <c r="N3908" s="126"/>
      <c r="O3908" s="126"/>
      <c r="P3908" s="126"/>
      <c r="Q3908" s="126"/>
    </row>
    <row r="3909" spans="11:17" ht="12.75">
      <c r="K3909" s="118"/>
      <c r="L3909" s="118"/>
      <c r="M3909" s="126"/>
      <c r="N3909" s="126"/>
      <c r="O3909" s="126"/>
      <c r="P3909" s="126"/>
      <c r="Q3909" s="126"/>
    </row>
    <row r="3910" spans="11:17" ht="12.75">
      <c r="K3910" s="118"/>
      <c r="L3910" s="118"/>
      <c r="M3910" s="126"/>
      <c r="N3910" s="126"/>
      <c r="O3910" s="126"/>
      <c r="P3910" s="126"/>
      <c r="Q3910" s="126"/>
    </row>
    <row r="3911" spans="11:17" ht="12.75">
      <c r="K3911" s="118"/>
      <c r="L3911" s="118"/>
      <c r="M3911" s="126"/>
      <c r="N3911" s="126"/>
      <c r="O3911" s="126"/>
      <c r="P3911" s="126"/>
      <c r="Q3911" s="126"/>
    </row>
    <row r="3912" spans="11:17" ht="12.75">
      <c r="K3912" s="118"/>
      <c r="L3912" s="118"/>
      <c r="M3912" s="126"/>
      <c r="N3912" s="126"/>
      <c r="O3912" s="126"/>
      <c r="P3912" s="126"/>
      <c r="Q3912" s="126"/>
    </row>
    <row r="3913" spans="11:17" ht="12.75">
      <c r="K3913" s="118"/>
      <c r="L3913" s="118"/>
      <c r="M3913" s="126"/>
      <c r="N3913" s="126"/>
      <c r="O3913" s="126"/>
      <c r="P3913" s="126"/>
      <c r="Q3913" s="126"/>
    </row>
    <row r="3914" spans="11:17" ht="12.75">
      <c r="K3914" s="118"/>
      <c r="L3914" s="118"/>
      <c r="M3914" s="126"/>
      <c r="N3914" s="126"/>
      <c r="O3914" s="126"/>
      <c r="P3914" s="126"/>
      <c r="Q3914" s="126"/>
    </row>
    <row r="3915" spans="11:17" ht="12.75">
      <c r="K3915" s="118"/>
      <c r="L3915" s="118"/>
      <c r="M3915" s="126"/>
      <c r="N3915" s="126"/>
      <c r="O3915" s="126"/>
      <c r="P3915" s="126"/>
      <c r="Q3915" s="126"/>
    </row>
    <row r="3916" spans="11:17" ht="12.75">
      <c r="K3916" s="118"/>
      <c r="L3916" s="118"/>
      <c r="M3916" s="126"/>
      <c r="N3916" s="126"/>
      <c r="O3916" s="126"/>
      <c r="P3916" s="126"/>
      <c r="Q3916" s="126"/>
    </row>
    <row r="3917" spans="11:17" ht="12.75">
      <c r="K3917" s="118"/>
      <c r="L3917" s="118"/>
      <c r="M3917" s="126"/>
      <c r="N3917" s="126"/>
      <c r="O3917" s="126"/>
      <c r="P3917" s="126"/>
      <c r="Q3917" s="126"/>
    </row>
    <row r="3918" spans="11:17" ht="12.75">
      <c r="K3918" s="118"/>
      <c r="L3918" s="118"/>
      <c r="M3918" s="126"/>
      <c r="N3918" s="126"/>
      <c r="O3918" s="126"/>
      <c r="P3918" s="126"/>
      <c r="Q3918" s="126"/>
    </row>
    <row r="3919" spans="11:17" ht="12.75">
      <c r="K3919" s="118"/>
      <c r="L3919" s="118"/>
      <c r="M3919" s="126"/>
      <c r="N3919" s="126"/>
      <c r="O3919" s="126"/>
      <c r="P3919" s="126"/>
      <c r="Q3919" s="126"/>
    </row>
    <row r="3920" spans="11:17" ht="12.75">
      <c r="K3920" s="118"/>
      <c r="L3920" s="118"/>
      <c r="M3920" s="126"/>
      <c r="N3920" s="126"/>
      <c r="O3920" s="126"/>
      <c r="P3920" s="126"/>
      <c r="Q3920" s="126"/>
    </row>
    <row r="3921" spans="11:17" ht="12.75">
      <c r="K3921" s="118"/>
      <c r="L3921" s="118"/>
      <c r="M3921" s="126"/>
      <c r="N3921" s="126"/>
      <c r="O3921" s="126"/>
      <c r="P3921" s="126"/>
      <c r="Q3921" s="126"/>
    </row>
    <row r="3922" spans="11:17" ht="12.75">
      <c r="K3922" s="118"/>
      <c r="L3922" s="118"/>
      <c r="M3922" s="126"/>
      <c r="N3922" s="126"/>
      <c r="O3922" s="126"/>
      <c r="P3922" s="126"/>
      <c r="Q3922" s="126"/>
    </row>
    <row r="3923" spans="11:17" ht="12.75">
      <c r="K3923" s="118"/>
      <c r="L3923" s="118"/>
      <c r="M3923" s="126"/>
      <c r="N3923" s="126"/>
      <c r="O3923" s="126"/>
      <c r="P3923" s="126"/>
      <c r="Q3923" s="126"/>
    </row>
    <row r="3924" spans="11:17" ht="12.75">
      <c r="K3924" s="118"/>
      <c r="L3924" s="118"/>
      <c r="M3924" s="126"/>
      <c r="N3924" s="126"/>
      <c r="O3924" s="126"/>
      <c r="P3924" s="126"/>
      <c r="Q3924" s="126"/>
    </row>
    <row r="3925" spans="11:17" ht="12.75">
      <c r="K3925" s="118"/>
      <c r="L3925" s="118"/>
      <c r="M3925" s="126"/>
      <c r="N3925" s="126"/>
      <c r="O3925" s="126"/>
      <c r="P3925" s="126"/>
      <c r="Q3925" s="126"/>
    </row>
    <row r="3926" spans="11:17" ht="12.75">
      <c r="K3926" s="118"/>
      <c r="L3926" s="118"/>
      <c r="M3926" s="126"/>
      <c r="N3926" s="126"/>
      <c r="O3926" s="126"/>
      <c r="P3926" s="126"/>
      <c r="Q3926" s="126"/>
    </row>
    <row r="3927" spans="11:17" ht="12.75">
      <c r="K3927" s="118"/>
      <c r="L3927" s="118"/>
      <c r="M3927" s="126"/>
      <c r="N3927" s="126"/>
      <c r="O3927" s="126"/>
      <c r="P3927" s="126"/>
      <c r="Q3927" s="126"/>
    </row>
    <row r="3928" spans="11:17" ht="12.75">
      <c r="K3928" s="118"/>
      <c r="L3928" s="118"/>
      <c r="M3928" s="126"/>
      <c r="N3928" s="126"/>
      <c r="O3928" s="126"/>
      <c r="P3928" s="126"/>
      <c r="Q3928" s="126"/>
    </row>
    <row r="3929" spans="11:17" ht="12.75">
      <c r="K3929" s="118"/>
      <c r="L3929" s="118"/>
      <c r="M3929" s="126"/>
      <c r="N3929" s="126"/>
      <c r="O3929" s="126"/>
      <c r="P3929" s="126"/>
      <c r="Q3929" s="126"/>
    </row>
    <row r="3930" spans="11:17" ht="12.75">
      <c r="K3930" s="118"/>
      <c r="L3930" s="118"/>
      <c r="M3930" s="126"/>
      <c r="N3930" s="126"/>
      <c r="O3930" s="126"/>
      <c r="P3930" s="126"/>
      <c r="Q3930" s="126"/>
    </row>
    <row r="3931" spans="11:17" ht="12.75">
      <c r="K3931" s="118"/>
      <c r="L3931" s="118"/>
      <c r="M3931" s="126"/>
      <c r="N3931" s="126"/>
      <c r="O3931" s="126"/>
      <c r="P3931" s="126"/>
      <c r="Q3931" s="126"/>
    </row>
    <row r="3932" spans="11:17" ht="12.75">
      <c r="K3932" s="118"/>
      <c r="L3932" s="118"/>
      <c r="M3932" s="126"/>
      <c r="N3932" s="126"/>
      <c r="O3932" s="126"/>
      <c r="P3932" s="126"/>
      <c r="Q3932" s="126"/>
    </row>
    <row r="3933" spans="11:17" ht="12.75">
      <c r="K3933" s="118"/>
      <c r="L3933" s="118"/>
      <c r="M3933" s="126"/>
      <c r="N3933" s="126"/>
      <c r="O3933" s="126"/>
      <c r="P3933" s="126"/>
      <c r="Q3933" s="126"/>
    </row>
    <row r="3934" spans="11:17" ht="12.75">
      <c r="K3934" s="118"/>
      <c r="L3934" s="118"/>
      <c r="M3934" s="126"/>
      <c r="N3934" s="126"/>
      <c r="O3934" s="126"/>
      <c r="P3934" s="126"/>
      <c r="Q3934" s="126"/>
    </row>
    <row r="3935" spans="11:17" ht="12.75">
      <c r="K3935" s="118"/>
      <c r="L3935" s="118"/>
      <c r="M3935" s="126"/>
      <c r="N3935" s="126"/>
      <c r="O3935" s="126"/>
      <c r="P3935" s="126"/>
      <c r="Q3935" s="126"/>
    </row>
    <row r="3936" spans="11:17" ht="12.75">
      <c r="K3936" s="118"/>
      <c r="L3936" s="118"/>
      <c r="M3936" s="126"/>
      <c r="N3936" s="126"/>
      <c r="O3936" s="126"/>
      <c r="P3936" s="126"/>
      <c r="Q3936" s="126"/>
    </row>
    <row r="3937" spans="11:17" ht="12.75">
      <c r="K3937" s="118"/>
      <c r="L3937" s="118"/>
      <c r="M3937" s="126"/>
      <c r="N3937" s="126"/>
      <c r="O3937" s="126"/>
      <c r="P3937" s="126"/>
      <c r="Q3937" s="126"/>
    </row>
    <row r="3938" spans="11:17" ht="12.75">
      <c r="K3938" s="118"/>
      <c r="L3938" s="118"/>
      <c r="M3938" s="126"/>
      <c r="N3938" s="126"/>
      <c r="O3938" s="126"/>
      <c r="P3938" s="126"/>
      <c r="Q3938" s="126"/>
    </row>
    <row r="3939" spans="11:17" ht="12.75">
      <c r="K3939" s="118"/>
      <c r="L3939" s="118"/>
      <c r="M3939" s="126"/>
      <c r="N3939" s="126"/>
      <c r="O3939" s="126"/>
      <c r="P3939" s="126"/>
      <c r="Q3939" s="126"/>
    </row>
    <row r="3940" spans="11:17" ht="12.75">
      <c r="K3940" s="118"/>
      <c r="L3940" s="118"/>
      <c r="M3940" s="126"/>
      <c r="N3940" s="126"/>
      <c r="O3940" s="126"/>
      <c r="P3940" s="126"/>
      <c r="Q3940" s="126"/>
    </row>
    <row r="3941" spans="11:17" ht="12.75">
      <c r="K3941" s="118"/>
      <c r="L3941" s="118"/>
      <c r="M3941" s="126"/>
      <c r="N3941" s="126"/>
      <c r="O3941" s="126"/>
      <c r="P3941" s="126"/>
      <c r="Q3941" s="126"/>
    </row>
    <row r="3942" spans="11:17" ht="12.75">
      <c r="K3942" s="118"/>
      <c r="L3942" s="118"/>
      <c r="M3942" s="126"/>
      <c r="N3942" s="126"/>
      <c r="O3942" s="126"/>
      <c r="P3942" s="126"/>
      <c r="Q3942" s="126"/>
    </row>
    <row r="3943" spans="11:17" ht="12.75">
      <c r="K3943" s="118"/>
      <c r="L3943" s="118"/>
      <c r="M3943" s="126"/>
      <c r="N3943" s="126"/>
      <c r="O3943" s="126"/>
      <c r="P3943" s="126"/>
      <c r="Q3943" s="126"/>
    </row>
    <row r="3944" spans="11:17" ht="12.75">
      <c r="K3944" s="118"/>
      <c r="L3944" s="118"/>
      <c r="M3944" s="126"/>
      <c r="N3944" s="126"/>
      <c r="O3944" s="126"/>
      <c r="P3944" s="126"/>
      <c r="Q3944" s="126"/>
    </row>
    <row r="3945" spans="11:17" ht="12.75">
      <c r="K3945" s="118"/>
      <c r="L3945" s="118"/>
      <c r="M3945" s="126"/>
      <c r="N3945" s="126"/>
      <c r="O3945" s="126"/>
      <c r="P3945" s="126"/>
      <c r="Q3945" s="126"/>
    </row>
    <row r="3946" spans="11:17" ht="12.75">
      <c r="K3946" s="118"/>
      <c r="L3946" s="118"/>
      <c r="M3946" s="126"/>
      <c r="N3946" s="126"/>
      <c r="O3946" s="126"/>
      <c r="P3946" s="126"/>
      <c r="Q3946" s="126"/>
    </row>
    <row r="3947" spans="11:17" ht="12.75">
      <c r="K3947" s="118"/>
      <c r="L3947" s="118"/>
      <c r="M3947" s="126"/>
      <c r="N3947" s="126"/>
      <c r="O3947" s="126"/>
      <c r="P3947" s="126"/>
      <c r="Q3947" s="126"/>
    </row>
    <row r="3948" spans="11:17" ht="12.75">
      <c r="K3948" s="118"/>
      <c r="L3948" s="118"/>
      <c r="M3948" s="126"/>
      <c r="N3948" s="126"/>
      <c r="O3948" s="126"/>
      <c r="P3948" s="126"/>
      <c r="Q3948" s="126"/>
    </row>
    <row r="3949" spans="11:17" ht="12.75">
      <c r="K3949" s="118"/>
      <c r="L3949" s="118"/>
      <c r="M3949" s="126"/>
      <c r="N3949" s="126"/>
      <c r="O3949" s="126"/>
      <c r="P3949" s="126"/>
      <c r="Q3949" s="126"/>
    </row>
    <row r="3950" spans="11:17" ht="12.75">
      <c r="K3950" s="118"/>
      <c r="L3950" s="118"/>
      <c r="M3950" s="126"/>
      <c r="N3950" s="126"/>
      <c r="O3950" s="126"/>
      <c r="P3950" s="126"/>
      <c r="Q3950" s="126"/>
    </row>
    <row r="3951" spans="11:17" ht="12.75">
      <c r="K3951" s="118"/>
      <c r="L3951" s="118"/>
      <c r="M3951" s="126"/>
      <c r="N3951" s="126"/>
      <c r="O3951" s="126"/>
      <c r="P3951" s="126"/>
      <c r="Q3951" s="126"/>
    </row>
    <row r="3952" spans="11:17" ht="12.75">
      <c r="K3952" s="118"/>
      <c r="L3952" s="118"/>
      <c r="M3952" s="126"/>
      <c r="N3952" s="126"/>
      <c r="O3952" s="126"/>
      <c r="P3952" s="126"/>
      <c r="Q3952" s="126"/>
    </row>
    <row r="3953" spans="11:17" ht="12.75">
      <c r="K3953" s="118"/>
      <c r="L3953" s="118"/>
      <c r="M3953" s="126"/>
      <c r="N3953" s="126"/>
      <c r="O3953" s="126"/>
      <c r="P3953" s="126"/>
      <c r="Q3953" s="126"/>
    </row>
    <row r="3954" spans="11:17" ht="12.75">
      <c r="K3954" s="118"/>
      <c r="L3954" s="118"/>
      <c r="M3954" s="126"/>
      <c r="N3954" s="126"/>
      <c r="O3954" s="126"/>
      <c r="P3954" s="126"/>
      <c r="Q3954" s="126"/>
    </row>
    <row r="3955" spans="11:17" ht="12.75">
      <c r="K3955" s="118"/>
      <c r="L3955" s="118"/>
      <c r="M3955" s="126"/>
      <c r="N3955" s="126"/>
      <c r="O3955" s="126"/>
      <c r="P3955" s="126"/>
      <c r="Q3955" s="126"/>
    </row>
    <row r="3956" spans="11:17" ht="12.75">
      <c r="K3956" s="118"/>
      <c r="L3956" s="118"/>
      <c r="M3956" s="126"/>
      <c r="N3956" s="126"/>
      <c r="O3956" s="126"/>
      <c r="P3956" s="126"/>
      <c r="Q3956" s="126"/>
    </row>
    <row r="3957" spans="11:17" ht="12.75">
      <c r="K3957" s="118"/>
      <c r="L3957" s="118"/>
      <c r="M3957" s="126"/>
      <c r="N3957" s="126"/>
      <c r="O3957" s="126"/>
      <c r="P3957" s="126"/>
      <c r="Q3957" s="126"/>
    </row>
    <row r="3958" spans="11:17" ht="12.75">
      <c r="K3958" s="118"/>
      <c r="L3958" s="118"/>
      <c r="M3958" s="126"/>
      <c r="N3958" s="126"/>
      <c r="O3958" s="126"/>
      <c r="P3958" s="126"/>
      <c r="Q3958" s="126"/>
    </row>
    <row r="3959" spans="11:17" ht="12.75">
      <c r="K3959" s="118"/>
      <c r="L3959" s="118"/>
      <c r="M3959" s="126"/>
      <c r="N3959" s="126"/>
      <c r="O3959" s="126"/>
      <c r="P3959" s="126"/>
      <c r="Q3959" s="126"/>
    </row>
    <row r="3960" spans="11:17" ht="12.75">
      <c r="K3960" s="118"/>
      <c r="L3960" s="118"/>
      <c r="M3960" s="126"/>
      <c r="N3960" s="126"/>
      <c r="O3960" s="126"/>
      <c r="P3960" s="126"/>
      <c r="Q3960" s="126"/>
    </row>
    <row r="3961" spans="11:17" ht="12.75">
      <c r="K3961" s="118"/>
      <c r="L3961" s="118"/>
      <c r="M3961" s="126"/>
      <c r="N3961" s="126"/>
      <c r="O3961" s="126"/>
      <c r="P3961" s="126"/>
      <c r="Q3961" s="126"/>
    </row>
    <row r="3962" spans="11:17" ht="12.75">
      <c r="K3962" s="118"/>
      <c r="L3962" s="118"/>
      <c r="M3962" s="126"/>
      <c r="N3962" s="126"/>
      <c r="O3962" s="126"/>
      <c r="P3962" s="126"/>
      <c r="Q3962" s="126"/>
    </row>
    <row r="3963" spans="11:17" ht="12.75">
      <c r="K3963" s="118"/>
      <c r="L3963" s="118"/>
      <c r="M3963" s="126"/>
      <c r="N3963" s="126"/>
      <c r="O3963" s="126"/>
      <c r="P3963" s="126"/>
      <c r="Q3963" s="126"/>
    </row>
    <row r="3964" spans="11:17" ht="12.75">
      <c r="K3964" s="118"/>
      <c r="L3964" s="118"/>
      <c r="M3964" s="126"/>
      <c r="N3964" s="126"/>
      <c r="O3964" s="126"/>
      <c r="P3964" s="126"/>
      <c r="Q3964" s="126"/>
    </row>
    <row r="3965" spans="11:17" ht="12.75">
      <c r="K3965" s="118"/>
      <c r="L3965" s="118"/>
      <c r="M3965" s="126"/>
      <c r="N3965" s="126"/>
      <c r="O3965" s="126"/>
      <c r="P3965" s="126"/>
      <c r="Q3965" s="126"/>
    </row>
    <row r="3966" spans="11:17" ht="12.75">
      <c r="K3966" s="118"/>
      <c r="L3966" s="118"/>
      <c r="M3966" s="126"/>
      <c r="N3966" s="126"/>
      <c r="O3966" s="126"/>
      <c r="P3966" s="126"/>
      <c r="Q3966" s="126"/>
    </row>
    <row r="3967" spans="11:17" ht="12.75">
      <c r="K3967" s="118"/>
      <c r="L3967" s="118"/>
      <c r="M3967" s="126"/>
      <c r="N3967" s="126"/>
      <c r="O3967" s="126"/>
      <c r="P3967" s="126"/>
      <c r="Q3967" s="126"/>
    </row>
    <row r="3968" spans="11:17" ht="12.75">
      <c r="K3968" s="118"/>
      <c r="L3968" s="118"/>
      <c r="M3968" s="126"/>
      <c r="N3968" s="126"/>
      <c r="O3968" s="126"/>
      <c r="P3968" s="126"/>
      <c r="Q3968" s="126"/>
    </row>
    <row r="3969" spans="11:17" ht="12.75">
      <c r="K3969" s="118"/>
      <c r="L3969" s="118"/>
      <c r="M3969" s="126"/>
      <c r="N3969" s="126"/>
      <c r="O3969" s="126"/>
      <c r="P3969" s="126"/>
      <c r="Q3969" s="126"/>
    </row>
    <row r="3970" spans="11:17" ht="12.75">
      <c r="K3970" s="118"/>
      <c r="L3970" s="118"/>
      <c r="M3970" s="126"/>
      <c r="N3970" s="126"/>
      <c r="O3970" s="126"/>
      <c r="P3970" s="126"/>
      <c r="Q3970" s="126"/>
    </row>
    <row r="3971" spans="11:17" ht="12.75">
      <c r="K3971" s="118"/>
      <c r="L3971" s="118"/>
      <c r="M3971" s="126"/>
      <c r="N3971" s="126"/>
      <c r="O3971" s="126"/>
      <c r="P3971" s="126"/>
      <c r="Q3971" s="126"/>
    </row>
    <row r="3972" spans="11:17" ht="12.75">
      <c r="K3972" s="118"/>
      <c r="L3972" s="118"/>
      <c r="M3972" s="126"/>
      <c r="N3972" s="126"/>
      <c r="O3972" s="126"/>
      <c r="P3972" s="126"/>
      <c r="Q3972" s="126"/>
    </row>
    <row r="3973" spans="11:17" ht="12.75">
      <c r="K3973" s="118"/>
      <c r="L3973" s="118"/>
      <c r="M3973" s="126"/>
      <c r="N3973" s="126"/>
      <c r="O3973" s="126"/>
      <c r="P3973" s="126"/>
      <c r="Q3973" s="126"/>
    </row>
    <row r="3974" spans="11:17" ht="12.75">
      <c r="K3974" s="118"/>
      <c r="L3974" s="118"/>
      <c r="M3974" s="126"/>
      <c r="N3974" s="126"/>
      <c r="O3974" s="126"/>
      <c r="P3974" s="126"/>
      <c r="Q3974" s="126"/>
    </row>
    <row r="3975" spans="11:17" ht="12.75">
      <c r="K3975" s="118"/>
      <c r="L3975" s="118"/>
      <c r="M3975" s="126"/>
      <c r="N3975" s="126"/>
      <c r="O3975" s="126"/>
      <c r="P3975" s="126"/>
      <c r="Q3975" s="126"/>
    </row>
    <row r="3976" spans="11:17" ht="12.75">
      <c r="K3976" s="118"/>
      <c r="L3976" s="118"/>
      <c r="M3976" s="126"/>
      <c r="N3976" s="126"/>
      <c r="O3976" s="126"/>
      <c r="P3976" s="126"/>
      <c r="Q3976" s="126"/>
    </row>
    <row r="3977" spans="11:17" ht="12.75">
      <c r="K3977" s="118"/>
      <c r="L3977" s="118"/>
      <c r="M3977" s="126"/>
      <c r="N3977" s="126"/>
      <c r="O3977" s="126"/>
      <c r="P3977" s="126"/>
      <c r="Q3977" s="126"/>
    </row>
    <row r="3978" spans="11:17" ht="12.75">
      <c r="K3978" s="118"/>
      <c r="L3978" s="118"/>
      <c r="M3978" s="126"/>
      <c r="N3978" s="126"/>
      <c r="O3978" s="126"/>
      <c r="P3978" s="126"/>
      <c r="Q3978" s="126"/>
    </row>
    <row r="3979" spans="11:17" ht="12.75">
      <c r="K3979" s="118"/>
      <c r="L3979" s="118"/>
      <c r="M3979" s="126"/>
      <c r="N3979" s="126"/>
      <c r="O3979" s="126"/>
      <c r="P3979" s="126"/>
      <c r="Q3979" s="126"/>
    </row>
    <row r="3980" spans="11:17" ht="12.75">
      <c r="K3980" s="118"/>
      <c r="L3980" s="118"/>
      <c r="M3980" s="126"/>
      <c r="N3980" s="126"/>
      <c r="O3980" s="126"/>
      <c r="P3980" s="126"/>
      <c r="Q3980" s="126"/>
    </row>
    <row r="3981" spans="11:17" ht="12.75">
      <c r="K3981" s="118"/>
      <c r="L3981" s="118"/>
      <c r="M3981" s="126"/>
      <c r="N3981" s="126"/>
      <c r="O3981" s="126"/>
      <c r="P3981" s="126"/>
      <c r="Q3981" s="126"/>
    </row>
    <row r="3982" spans="11:17" ht="12.75">
      <c r="K3982" s="118"/>
      <c r="L3982" s="118"/>
      <c r="M3982" s="126"/>
      <c r="N3982" s="126"/>
      <c r="O3982" s="126"/>
      <c r="P3982" s="126"/>
      <c r="Q3982" s="126"/>
    </row>
    <row r="3983" spans="11:17" ht="12.75">
      <c r="K3983" s="118"/>
      <c r="L3983" s="118"/>
      <c r="M3983" s="126"/>
      <c r="N3983" s="126"/>
      <c r="O3983" s="126"/>
      <c r="P3983" s="126"/>
      <c r="Q3983" s="126"/>
    </row>
    <row r="3984" spans="11:17" ht="12.75">
      <c r="K3984" s="118"/>
      <c r="L3984" s="118"/>
      <c r="M3984" s="126"/>
      <c r="N3984" s="126"/>
      <c r="O3984" s="126"/>
      <c r="P3984" s="126"/>
      <c r="Q3984" s="126"/>
    </row>
    <row r="3985" spans="11:17" ht="12.75">
      <c r="K3985" s="118"/>
      <c r="L3985" s="118"/>
      <c r="M3985" s="126"/>
      <c r="N3985" s="126"/>
      <c r="O3985" s="126"/>
      <c r="P3985" s="126"/>
      <c r="Q3985" s="126"/>
    </row>
    <row r="3986" spans="11:17" ht="12.75">
      <c r="K3986" s="118"/>
      <c r="L3986" s="118"/>
      <c r="M3986" s="126"/>
      <c r="N3986" s="126"/>
      <c r="O3986" s="126"/>
      <c r="P3986" s="126"/>
      <c r="Q3986" s="126"/>
    </row>
    <row r="3987" spans="11:17" ht="12.75">
      <c r="K3987" s="118"/>
      <c r="L3987" s="118"/>
      <c r="M3987" s="126"/>
      <c r="N3987" s="126"/>
      <c r="O3987" s="126"/>
      <c r="P3987" s="126"/>
      <c r="Q3987" s="126"/>
    </row>
    <row r="3988" spans="11:17" ht="12.75">
      <c r="K3988" s="118"/>
      <c r="L3988" s="118"/>
      <c r="M3988" s="126"/>
      <c r="N3988" s="126"/>
      <c r="O3988" s="126"/>
      <c r="P3988" s="126"/>
      <c r="Q3988" s="126"/>
    </row>
    <row r="3989" spans="11:17" ht="12.75">
      <c r="K3989" s="118"/>
      <c r="L3989" s="118"/>
      <c r="M3989" s="126"/>
      <c r="N3989" s="126"/>
      <c r="O3989" s="126"/>
      <c r="P3989" s="126"/>
      <c r="Q3989" s="126"/>
    </row>
    <row r="3990" spans="11:17" ht="12.75">
      <c r="K3990" s="118"/>
      <c r="L3990" s="118"/>
      <c r="M3990" s="126"/>
      <c r="N3990" s="126"/>
      <c r="O3990" s="126"/>
      <c r="P3990" s="126"/>
      <c r="Q3990" s="126"/>
    </row>
    <row r="3991" spans="11:17" ht="12.75">
      <c r="K3991" s="118"/>
      <c r="L3991" s="118"/>
      <c r="M3991" s="126"/>
      <c r="N3991" s="126"/>
      <c r="O3991" s="126"/>
      <c r="P3991" s="126"/>
      <c r="Q3991" s="126"/>
    </row>
    <row r="3992" spans="11:17" ht="12.75">
      <c r="K3992" s="118"/>
      <c r="L3992" s="118"/>
      <c r="M3992" s="126"/>
      <c r="N3992" s="126"/>
      <c r="O3992" s="126"/>
      <c r="P3992" s="126"/>
      <c r="Q3992" s="126"/>
    </row>
    <row r="3993" spans="11:17" ht="12.75">
      <c r="K3993" s="118"/>
      <c r="L3993" s="118"/>
      <c r="M3993" s="126"/>
      <c r="N3993" s="126"/>
      <c r="O3993" s="126"/>
      <c r="P3993" s="126"/>
      <c r="Q3993" s="126"/>
    </row>
    <row r="3994" spans="11:17" ht="12.75">
      <c r="K3994" s="118"/>
      <c r="L3994" s="118"/>
      <c r="M3994" s="126"/>
      <c r="N3994" s="126"/>
      <c r="O3994" s="126"/>
      <c r="P3994" s="126"/>
      <c r="Q3994" s="126"/>
    </row>
    <row r="3995" spans="11:17" ht="12.75">
      <c r="K3995" s="118"/>
      <c r="L3995" s="118"/>
      <c r="M3995" s="126"/>
      <c r="N3995" s="126"/>
      <c r="O3995" s="126"/>
      <c r="P3995" s="126"/>
      <c r="Q3995" s="126"/>
    </row>
    <row r="3996" spans="11:17" ht="12.75">
      <c r="K3996" s="118"/>
      <c r="L3996" s="118"/>
      <c r="M3996" s="126"/>
      <c r="N3996" s="126"/>
      <c r="O3996" s="126"/>
      <c r="P3996" s="126"/>
      <c r="Q3996" s="126"/>
    </row>
    <row r="3997" spans="11:17" ht="12.75">
      <c r="K3997" s="118"/>
      <c r="L3997" s="118"/>
      <c r="M3997" s="126"/>
      <c r="N3997" s="126"/>
      <c r="O3997" s="126"/>
      <c r="P3997" s="126"/>
      <c r="Q3997" s="126"/>
    </row>
    <row r="3998" spans="11:17" ht="12.75">
      <c r="K3998" s="118"/>
      <c r="L3998" s="118"/>
      <c r="M3998" s="126"/>
      <c r="N3998" s="126"/>
      <c r="O3998" s="126"/>
      <c r="P3998" s="126"/>
      <c r="Q3998" s="126"/>
    </row>
    <row r="3999" spans="11:17" ht="12.75">
      <c r="K3999" s="118"/>
      <c r="L3999" s="118"/>
      <c r="M3999" s="126"/>
      <c r="N3999" s="126"/>
      <c r="O3999" s="126"/>
      <c r="P3999" s="126"/>
      <c r="Q3999" s="126"/>
    </row>
    <row r="4000" spans="11:17" ht="12.75">
      <c r="K4000" s="118"/>
      <c r="L4000" s="118"/>
      <c r="M4000" s="126"/>
      <c r="N4000" s="126"/>
      <c r="O4000" s="126"/>
      <c r="P4000" s="126"/>
      <c r="Q4000" s="126"/>
    </row>
    <row r="4001" spans="11:17" ht="12.75">
      <c r="K4001" s="118"/>
      <c r="L4001" s="118"/>
      <c r="M4001" s="126"/>
      <c r="N4001" s="126"/>
      <c r="O4001" s="126"/>
      <c r="P4001" s="126"/>
      <c r="Q4001" s="126"/>
    </row>
    <row r="4002" spans="11:17" ht="12.75">
      <c r="K4002" s="118"/>
      <c r="L4002" s="118"/>
      <c r="M4002" s="126"/>
      <c r="N4002" s="126"/>
      <c r="O4002" s="126"/>
      <c r="P4002" s="126"/>
      <c r="Q4002" s="126"/>
    </row>
    <row r="4003" spans="11:17" ht="12.75">
      <c r="K4003" s="118"/>
      <c r="L4003" s="118"/>
      <c r="M4003" s="126"/>
      <c r="N4003" s="126"/>
      <c r="O4003" s="126"/>
      <c r="P4003" s="126"/>
      <c r="Q4003" s="126"/>
    </row>
    <row r="4004" spans="11:17" ht="12.75">
      <c r="K4004" s="118"/>
      <c r="L4004" s="118"/>
      <c r="M4004" s="126"/>
      <c r="N4004" s="126"/>
      <c r="O4004" s="126"/>
      <c r="P4004" s="126"/>
      <c r="Q4004" s="126"/>
    </row>
    <row r="4005" spans="11:17" ht="12.75">
      <c r="K4005" s="118"/>
      <c r="L4005" s="118"/>
      <c r="M4005" s="126"/>
      <c r="N4005" s="126"/>
      <c r="O4005" s="126"/>
      <c r="P4005" s="126"/>
      <c r="Q4005" s="126"/>
    </row>
    <row r="4006" spans="11:17" ht="12.75">
      <c r="K4006" s="118"/>
      <c r="L4006" s="118"/>
      <c r="M4006" s="126"/>
      <c r="N4006" s="126"/>
      <c r="O4006" s="126"/>
      <c r="P4006" s="126"/>
      <c r="Q4006" s="126"/>
    </row>
    <row r="4007" spans="11:17" ht="12.75">
      <c r="K4007" s="118"/>
      <c r="L4007" s="118"/>
      <c r="M4007" s="126"/>
      <c r="N4007" s="126"/>
      <c r="O4007" s="126"/>
      <c r="P4007" s="126"/>
      <c r="Q4007" s="126"/>
    </row>
    <row r="4008" spans="11:17" ht="12.75">
      <c r="K4008" s="118"/>
      <c r="L4008" s="118"/>
      <c r="M4008" s="126"/>
      <c r="N4008" s="126"/>
      <c r="O4008" s="126"/>
      <c r="P4008" s="126"/>
      <c r="Q4008" s="126"/>
    </row>
    <row r="4009" spans="11:17" ht="12.75">
      <c r="K4009" s="118"/>
      <c r="L4009" s="118"/>
      <c r="M4009" s="126"/>
      <c r="N4009" s="126"/>
      <c r="O4009" s="126"/>
      <c r="P4009" s="126"/>
      <c r="Q4009" s="126"/>
    </row>
    <row r="4010" spans="11:17" ht="12.75">
      <c r="K4010" s="118"/>
      <c r="L4010" s="118"/>
      <c r="M4010" s="126"/>
      <c r="N4010" s="126"/>
      <c r="O4010" s="126"/>
      <c r="P4010" s="126"/>
      <c r="Q4010" s="126"/>
    </row>
    <row r="4011" spans="11:17" ht="12.75">
      <c r="K4011" s="118"/>
      <c r="L4011" s="118"/>
      <c r="M4011" s="126"/>
      <c r="N4011" s="126"/>
      <c r="O4011" s="126"/>
      <c r="P4011" s="126"/>
      <c r="Q4011" s="126"/>
    </row>
    <row r="4012" spans="11:17" ht="12.75">
      <c r="K4012" s="118"/>
      <c r="L4012" s="118"/>
      <c r="M4012" s="126"/>
      <c r="N4012" s="126"/>
      <c r="O4012" s="126"/>
      <c r="P4012" s="126"/>
      <c r="Q4012" s="126"/>
    </row>
    <row r="4013" spans="11:17" ht="12.75">
      <c r="K4013" s="118"/>
      <c r="L4013" s="118"/>
      <c r="M4013" s="126"/>
      <c r="N4013" s="126"/>
      <c r="O4013" s="126"/>
      <c r="P4013" s="126"/>
      <c r="Q4013" s="126"/>
    </row>
    <row r="4014" spans="11:17" ht="12.75">
      <c r="K4014" s="118"/>
      <c r="L4014" s="118"/>
      <c r="M4014" s="126"/>
      <c r="N4014" s="126"/>
      <c r="O4014" s="126"/>
      <c r="P4014" s="126"/>
      <c r="Q4014" s="126"/>
    </row>
    <row r="4015" spans="11:17" ht="12.75">
      <c r="K4015" s="118"/>
      <c r="L4015" s="118"/>
      <c r="M4015" s="126"/>
      <c r="N4015" s="126"/>
      <c r="O4015" s="126"/>
      <c r="P4015" s="126"/>
      <c r="Q4015" s="126"/>
    </row>
    <row r="4016" spans="11:17" ht="12.75">
      <c r="K4016" s="118"/>
      <c r="L4016" s="118"/>
      <c r="M4016" s="126"/>
      <c r="N4016" s="126"/>
      <c r="O4016" s="126"/>
      <c r="P4016" s="126"/>
      <c r="Q4016" s="126"/>
    </row>
    <row r="4017" spans="11:17" ht="12.75">
      <c r="K4017" s="118"/>
      <c r="L4017" s="118"/>
      <c r="M4017" s="126"/>
      <c r="N4017" s="126"/>
      <c r="O4017" s="126"/>
      <c r="P4017" s="126"/>
      <c r="Q4017" s="126"/>
    </row>
    <row r="4018" spans="11:17" ht="12.75">
      <c r="K4018" s="118"/>
      <c r="L4018" s="118"/>
      <c r="M4018" s="126"/>
      <c r="N4018" s="126"/>
      <c r="O4018" s="126"/>
      <c r="P4018" s="126"/>
      <c r="Q4018" s="126"/>
    </row>
    <row r="4019" spans="11:17" ht="12.75">
      <c r="K4019" s="118"/>
      <c r="L4019" s="118"/>
      <c r="M4019" s="126"/>
      <c r="N4019" s="126"/>
      <c r="O4019" s="126"/>
      <c r="P4019" s="126"/>
      <c r="Q4019" s="126"/>
    </row>
    <row r="4020" spans="11:17" ht="12.75">
      <c r="K4020" s="118"/>
      <c r="L4020" s="118"/>
      <c r="M4020" s="126"/>
      <c r="N4020" s="126"/>
      <c r="O4020" s="126"/>
      <c r="P4020" s="126"/>
      <c r="Q4020" s="126"/>
    </row>
    <row r="4021" spans="11:17" ht="12.75">
      <c r="K4021" s="118"/>
      <c r="L4021" s="118"/>
      <c r="M4021" s="126"/>
      <c r="N4021" s="126"/>
      <c r="O4021" s="126"/>
      <c r="P4021" s="126"/>
      <c r="Q4021" s="126"/>
    </row>
    <row r="4022" spans="11:17" ht="12.75">
      <c r="K4022" s="118"/>
      <c r="L4022" s="118"/>
      <c r="M4022" s="126"/>
      <c r="N4022" s="126"/>
      <c r="O4022" s="126"/>
      <c r="P4022" s="126"/>
      <c r="Q4022" s="126"/>
    </row>
    <row r="4023" spans="11:17" ht="12.75">
      <c r="K4023" s="118"/>
      <c r="L4023" s="118"/>
      <c r="M4023" s="126"/>
      <c r="N4023" s="126"/>
      <c r="O4023" s="126"/>
      <c r="P4023" s="126"/>
      <c r="Q4023" s="126"/>
    </row>
    <row r="4024" spans="11:17" ht="12.75">
      <c r="K4024" s="118"/>
      <c r="L4024" s="118"/>
      <c r="M4024" s="126"/>
      <c r="N4024" s="126"/>
      <c r="O4024" s="126"/>
      <c r="P4024" s="126"/>
      <c r="Q4024" s="126"/>
    </row>
    <row r="4025" spans="11:17" ht="12.75">
      <c r="K4025" s="118"/>
      <c r="L4025" s="118"/>
      <c r="M4025" s="126"/>
      <c r="N4025" s="126"/>
      <c r="O4025" s="126"/>
      <c r="P4025" s="126"/>
      <c r="Q4025" s="126"/>
    </row>
    <row r="4026" spans="11:17" ht="12.75">
      <c r="K4026" s="118"/>
      <c r="L4026" s="118"/>
      <c r="M4026" s="126"/>
      <c r="N4026" s="126"/>
      <c r="O4026" s="126"/>
      <c r="P4026" s="126"/>
      <c r="Q4026" s="126"/>
    </row>
    <row r="4027" spans="11:17" ht="12.75">
      <c r="K4027" s="118"/>
      <c r="L4027" s="118"/>
      <c r="M4027" s="126"/>
      <c r="N4027" s="126"/>
      <c r="O4027" s="126"/>
      <c r="P4027" s="126"/>
      <c r="Q4027" s="126"/>
    </row>
    <row r="4028" spans="11:17" ht="12.75">
      <c r="K4028" s="118"/>
      <c r="L4028" s="118"/>
      <c r="M4028" s="126"/>
      <c r="N4028" s="126"/>
      <c r="O4028" s="126"/>
      <c r="P4028" s="126"/>
      <c r="Q4028" s="126"/>
    </row>
    <row r="4029" spans="11:17" ht="12.75">
      <c r="K4029" s="118"/>
      <c r="L4029" s="118"/>
      <c r="M4029" s="126"/>
      <c r="N4029" s="126"/>
      <c r="O4029" s="126"/>
      <c r="P4029" s="126"/>
      <c r="Q4029" s="126"/>
    </row>
    <row r="4030" spans="11:17" ht="12.75">
      <c r="K4030" s="118"/>
      <c r="L4030" s="118"/>
      <c r="M4030" s="126"/>
      <c r="N4030" s="126"/>
      <c r="O4030" s="126"/>
      <c r="P4030" s="126"/>
      <c r="Q4030" s="126"/>
    </row>
    <row r="4031" spans="11:17" ht="12.75">
      <c r="K4031" s="118"/>
      <c r="L4031" s="118"/>
      <c r="M4031" s="126"/>
      <c r="N4031" s="126"/>
      <c r="O4031" s="126"/>
      <c r="P4031" s="126"/>
      <c r="Q4031" s="126"/>
    </row>
    <row r="4032" spans="11:17" ht="12.75">
      <c r="K4032" s="118"/>
      <c r="L4032" s="118"/>
      <c r="M4032" s="126"/>
      <c r="N4032" s="126"/>
      <c r="O4032" s="126"/>
      <c r="P4032" s="126"/>
      <c r="Q4032" s="126"/>
    </row>
    <row r="4033" spans="11:17" ht="12.75">
      <c r="K4033" s="118"/>
      <c r="L4033" s="118"/>
      <c r="M4033" s="126"/>
      <c r="N4033" s="126"/>
      <c r="O4033" s="126"/>
      <c r="P4033" s="126"/>
      <c r="Q4033" s="126"/>
    </row>
    <row r="4034" spans="11:17" ht="12.75">
      <c r="K4034" s="118"/>
      <c r="L4034" s="118"/>
      <c r="M4034" s="126"/>
      <c r="N4034" s="126"/>
      <c r="O4034" s="126"/>
      <c r="P4034" s="126"/>
      <c r="Q4034" s="126"/>
    </row>
    <row r="4035" spans="11:17" ht="12.75">
      <c r="K4035" s="118"/>
      <c r="L4035" s="118"/>
      <c r="M4035" s="126"/>
      <c r="N4035" s="126"/>
      <c r="O4035" s="126"/>
      <c r="P4035" s="126"/>
      <c r="Q4035" s="126"/>
    </row>
    <row r="4036" spans="11:17" ht="12.75">
      <c r="K4036" s="118"/>
      <c r="L4036" s="118"/>
      <c r="M4036" s="126"/>
      <c r="N4036" s="126"/>
      <c r="O4036" s="126"/>
      <c r="P4036" s="126"/>
      <c r="Q4036" s="126"/>
    </row>
    <row r="4037" spans="11:17" ht="12.75">
      <c r="K4037" s="118"/>
      <c r="L4037" s="118"/>
      <c r="M4037" s="126"/>
      <c r="N4037" s="126"/>
      <c r="O4037" s="126"/>
      <c r="P4037" s="126"/>
      <c r="Q4037" s="126"/>
    </row>
    <row r="4038" spans="11:17" ht="12.75">
      <c r="K4038" s="118"/>
      <c r="L4038" s="118"/>
      <c r="M4038" s="126"/>
      <c r="N4038" s="126"/>
      <c r="O4038" s="126"/>
      <c r="P4038" s="126"/>
      <c r="Q4038" s="126"/>
    </row>
    <row r="4039" spans="11:17" ht="12.75">
      <c r="K4039" s="118"/>
      <c r="L4039" s="118"/>
      <c r="M4039" s="126"/>
      <c r="N4039" s="126"/>
      <c r="O4039" s="126"/>
      <c r="P4039" s="126"/>
      <c r="Q4039" s="126"/>
    </row>
    <row r="4040" spans="11:17" ht="12.75">
      <c r="K4040" s="118"/>
      <c r="L4040" s="118"/>
      <c r="M4040" s="126"/>
      <c r="N4040" s="126"/>
      <c r="O4040" s="126"/>
      <c r="P4040" s="126"/>
      <c r="Q4040" s="126"/>
    </row>
    <row r="4041" spans="11:17" ht="12.75">
      <c r="K4041" s="118"/>
      <c r="L4041" s="118"/>
      <c r="M4041" s="126"/>
      <c r="N4041" s="126"/>
      <c r="O4041" s="126"/>
      <c r="P4041" s="126"/>
      <c r="Q4041" s="126"/>
    </row>
    <row r="4042" spans="11:17" ht="12.75">
      <c r="K4042" s="118"/>
      <c r="L4042" s="118"/>
      <c r="M4042" s="126"/>
      <c r="N4042" s="126"/>
      <c r="O4042" s="126"/>
      <c r="P4042" s="126"/>
      <c r="Q4042" s="126"/>
    </row>
    <row r="4043" spans="11:17" ht="12.75">
      <c r="K4043" s="118"/>
      <c r="L4043" s="118"/>
      <c r="M4043" s="126"/>
      <c r="N4043" s="126"/>
      <c r="O4043" s="126"/>
      <c r="P4043" s="126"/>
      <c r="Q4043" s="126"/>
    </row>
    <row r="4044" spans="11:17" ht="12.75">
      <c r="K4044" s="118"/>
      <c r="L4044" s="118"/>
      <c r="M4044" s="126"/>
      <c r="N4044" s="126"/>
      <c r="O4044" s="126"/>
      <c r="P4044" s="126"/>
      <c r="Q4044" s="126"/>
    </row>
    <row r="4045" spans="11:17" ht="12.75">
      <c r="K4045" s="118"/>
      <c r="L4045" s="118"/>
      <c r="M4045" s="126"/>
      <c r="N4045" s="126"/>
      <c r="O4045" s="126"/>
      <c r="P4045" s="126"/>
      <c r="Q4045" s="126"/>
    </row>
    <row r="4046" spans="11:17" ht="12.75">
      <c r="K4046" s="118"/>
      <c r="L4046" s="118"/>
      <c r="M4046" s="126"/>
      <c r="N4046" s="126"/>
      <c r="O4046" s="126"/>
      <c r="P4046" s="126"/>
      <c r="Q4046" s="126"/>
    </row>
    <row r="4047" spans="11:17" ht="12.75">
      <c r="K4047" s="118"/>
      <c r="L4047" s="118"/>
      <c r="M4047" s="126"/>
      <c r="N4047" s="126"/>
      <c r="O4047" s="126"/>
      <c r="P4047" s="126"/>
      <c r="Q4047" s="126"/>
    </row>
    <row r="4048" spans="11:17" ht="12.75">
      <c r="K4048" s="118"/>
      <c r="L4048" s="118"/>
      <c r="M4048" s="126"/>
      <c r="N4048" s="126"/>
      <c r="O4048" s="126"/>
      <c r="P4048" s="126"/>
      <c r="Q4048" s="126"/>
    </row>
    <row r="4049" spans="11:17" ht="12.75">
      <c r="K4049" s="118"/>
      <c r="L4049" s="118"/>
      <c r="M4049" s="126"/>
      <c r="N4049" s="126"/>
      <c r="O4049" s="126"/>
      <c r="P4049" s="126"/>
      <c r="Q4049" s="126"/>
    </row>
    <row r="4050" spans="11:17" ht="12.75">
      <c r="K4050" s="118"/>
      <c r="L4050" s="118"/>
      <c r="M4050" s="126"/>
      <c r="N4050" s="126"/>
      <c r="O4050" s="126"/>
      <c r="P4050" s="126"/>
      <c r="Q4050" s="126"/>
    </row>
    <row r="4051" spans="11:17" ht="12.75">
      <c r="K4051" s="118"/>
      <c r="L4051" s="118"/>
      <c r="M4051" s="126"/>
      <c r="N4051" s="126"/>
      <c r="O4051" s="126"/>
      <c r="P4051" s="126"/>
      <c r="Q4051" s="126"/>
    </row>
    <row r="4052" spans="11:17" ht="12.75">
      <c r="K4052" s="118"/>
      <c r="L4052" s="118"/>
      <c r="M4052" s="126"/>
      <c r="N4052" s="126"/>
      <c r="O4052" s="126"/>
      <c r="P4052" s="126"/>
      <c r="Q4052" s="126"/>
    </row>
    <row r="4053" spans="11:17" ht="12.75">
      <c r="K4053" s="118"/>
      <c r="L4053" s="118"/>
      <c r="M4053" s="126"/>
      <c r="N4053" s="126"/>
      <c r="O4053" s="126"/>
      <c r="P4053" s="126"/>
      <c r="Q4053" s="126"/>
    </row>
    <row r="4054" spans="11:17" ht="12.75">
      <c r="K4054" s="118"/>
      <c r="L4054" s="118"/>
      <c r="M4054" s="126"/>
      <c r="N4054" s="126"/>
      <c r="O4054" s="126"/>
      <c r="P4054" s="126"/>
      <c r="Q4054" s="126"/>
    </row>
    <row r="4055" spans="11:17" ht="12.75">
      <c r="K4055" s="118"/>
      <c r="L4055" s="118"/>
      <c r="M4055" s="126"/>
      <c r="N4055" s="126"/>
      <c r="O4055" s="126"/>
      <c r="P4055" s="126"/>
      <c r="Q4055" s="126"/>
    </row>
    <row r="4056" spans="11:17" ht="12.75">
      <c r="K4056" s="118"/>
      <c r="L4056" s="118"/>
      <c r="M4056" s="126"/>
      <c r="N4056" s="126"/>
      <c r="O4056" s="126"/>
      <c r="P4056" s="126"/>
      <c r="Q4056" s="126"/>
    </row>
    <row r="4057" spans="11:17" ht="12.75">
      <c r="K4057" s="118"/>
      <c r="L4057" s="118"/>
      <c r="M4057" s="126"/>
      <c r="N4057" s="126"/>
      <c r="O4057" s="126"/>
      <c r="P4057" s="126"/>
      <c r="Q4057" s="126"/>
    </row>
    <row r="4058" spans="11:17" ht="12.75">
      <c r="K4058" s="118"/>
      <c r="L4058" s="118"/>
      <c r="M4058" s="126"/>
      <c r="N4058" s="126"/>
      <c r="O4058" s="126"/>
      <c r="P4058" s="126"/>
      <c r="Q4058" s="126"/>
    </row>
    <row r="4059" spans="11:17" ht="12.75">
      <c r="K4059" s="118"/>
      <c r="L4059" s="118"/>
      <c r="M4059" s="126"/>
      <c r="N4059" s="126"/>
      <c r="O4059" s="126"/>
      <c r="P4059" s="126"/>
      <c r="Q4059" s="126"/>
    </row>
    <row r="4060" spans="11:17" ht="12.75">
      <c r="K4060" s="118"/>
      <c r="L4060" s="118"/>
      <c r="M4060" s="126"/>
      <c r="N4060" s="126"/>
      <c r="O4060" s="126"/>
      <c r="P4060" s="126"/>
      <c r="Q4060" s="126"/>
    </row>
    <row r="4061" spans="11:17" ht="12.75">
      <c r="K4061" s="118"/>
      <c r="L4061" s="118"/>
      <c r="M4061" s="126"/>
      <c r="N4061" s="126"/>
      <c r="O4061" s="126"/>
      <c r="P4061" s="126"/>
      <c r="Q4061" s="126"/>
    </row>
    <row r="4062" spans="11:17" ht="12.75">
      <c r="K4062" s="118"/>
      <c r="L4062" s="118"/>
      <c r="M4062" s="126"/>
      <c r="N4062" s="126"/>
      <c r="O4062" s="126"/>
      <c r="P4062" s="126"/>
      <c r="Q4062" s="126"/>
    </row>
    <row r="4063" spans="11:17" ht="12.75">
      <c r="K4063" s="118"/>
      <c r="L4063" s="118"/>
      <c r="M4063" s="126"/>
      <c r="N4063" s="126"/>
      <c r="O4063" s="126"/>
      <c r="P4063" s="126"/>
      <c r="Q4063" s="126"/>
    </row>
    <row r="4064" spans="11:17" ht="12.75">
      <c r="K4064" s="118"/>
      <c r="L4064" s="118"/>
      <c r="M4064" s="126"/>
      <c r="N4064" s="126"/>
      <c r="O4064" s="126"/>
      <c r="P4064" s="126"/>
      <c r="Q4064" s="126"/>
    </row>
    <row r="4065" spans="11:17" ht="12.75">
      <c r="K4065" s="118"/>
      <c r="L4065" s="118"/>
      <c r="M4065" s="126"/>
      <c r="N4065" s="126"/>
      <c r="O4065" s="126"/>
      <c r="P4065" s="126"/>
      <c r="Q4065" s="126"/>
    </row>
    <row r="4066" spans="11:17" ht="12.75">
      <c r="K4066" s="118"/>
      <c r="L4066" s="118"/>
      <c r="M4066" s="126"/>
      <c r="N4066" s="126"/>
      <c r="O4066" s="126"/>
      <c r="P4066" s="126"/>
      <c r="Q4066" s="126"/>
    </row>
    <row r="4067" spans="11:17" ht="12.75">
      <c r="K4067" s="118"/>
      <c r="L4067" s="118"/>
      <c r="M4067" s="126"/>
      <c r="N4067" s="126"/>
      <c r="O4067" s="126"/>
      <c r="P4067" s="126"/>
      <c r="Q4067" s="126"/>
    </row>
    <row r="4068" spans="11:17" ht="12.75">
      <c r="K4068" s="118"/>
      <c r="L4068" s="118"/>
      <c r="M4068" s="126"/>
      <c r="N4068" s="126"/>
      <c r="O4068" s="126"/>
      <c r="P4068" s="126"/>
      <c r="Q4068" s="126"/>
    </row>
    <row r="4069" spans="11:17" ht="12.75">
      <c r="K4069" s="118"/>
      <c r="L4069" s="118"/>
      <c r="M4069" s="126"/>
      <c r="N4069" s="126"/>
      <c r="O4069" s="126"/>
      <c r="P4069" s="126"/>
      <c r="Q4069" s="126"/>
    </row>
    <row r="4070" spans="11:17" ht="12.75">
      <c r="K4070" s="118"/>
      <c r="L4070" s="118"/>
      <c r="M4070" s="126"/>
      <c r="N4070" s="126"/>
      <c r="O4070" s="126"/>
      <c r="P4070" s="126"/>
      <c r="Q4070" s="126"/>
    </row>
    <row r="4071" spans="11:17" ht="12.75">
      <c r="K4071" s="118"/>
      <c r="L4071" s="118"/>
      <c r="M4071" s="126"/>
      <c r="N4071" s="126"/>
      <c r="O4071" s="126"/>
      <c r="P4071" s="126"/>
      <c r="Q4071" s="126"/>
    </row>
    <row r="4072" spans="11:17" ht="12.75">
      <c r="K4072" s="118"/>
      <c r="L4072" s="118"/>
      <c r="M4072" s="126"/>
      <c r="N4072" s="126"/>
      <c r="O4072" s="126"/>
      <c r="P4072" s="126"/>
      <c r="Q4072" s="126"/>
    </row>
    <row r="4073" spans="11:17" ht="12.75">
      <c r="K4073" s="118"/>
      <c r="L4073" s="118"/>
      <c r="M4073" s="126"/>
      <c r="N4073" s="126"/>
      <c r="O4073" s="126"/>
      <c r="P4073" s="126"/>
      <c r="Q4073" s="126"/>
    </row>
    <row r="4074" spans="11:17" ht="12.75">
      <c r="K4074" s="118"/>
      <c r="L4074" s="118"/>
      <c r="M4074" s="126"/>
      <c r="N4074" s="126"/>
      <c r="O4074" s="126"/>
      <c r="P4074" s="126"/>
      <c r="Q4074" s="126"/>
    </row>
    <row r="4075" spans="11:17" ht="12.75">
      <c r="K4075" s="118"/>
      <c r="L4075" s="118"/>
      <c r="M4075" s="126"/>
      <c r="N4075" s="126"/>
      <c r="O4075" s="126"/>
      <c r="P4075" s="126"/>
      <c r="Q4075" s="126"/>
    </row>
    <row r="4076" spans="11:17" ht="12.75">
      <c r="K4076" s="118"/>
      <c r="L4076" s="118"/>
      <c r="M4076" s="126"/>
      <c r="N4076" s="126"/>
      <c r="O4076" s="126"/>
      <c r="P4076" s="126"/>
      <c r="Q4076" s="126"/>
    </row>
    <row r="4077" spans="11:17" ht="12.75">
      <c r="K4077" s="118"/>
      <c r="L4077" s="118"/>
      <c r="M4077" s="126"/>
      <c r="N4077" s="126"/>
      <c r="O4077" s="126"/>
      <c r="P4077" s="126"/>
      <c r="Q4077" s="126"/>
    </row>
    <row r="4078" spans="11:17" ht="12.75">
      <c r="K4078" s="118"/>
      <c r="L4078" s="118"/>
      <c r="M4078" s="126"/>
      <c r="N4078" s="126"/>
      <c r="O4078" s="126"/>
      <c r="P4078" s="126"/>
      <c r="Q4078" s="126"/>
    </row>
    <row r="4079" spans="11:17" ht="12.75">
      <c r="K4079" s="118"/>
      <c r="L4079" s="118"/>
      <c r="M4079" s="126"/>
      <c r="N4079" s="126"/>
      <c r="O4079" s="126"/>
      <c r="P4079" s="126"/>
      <c r="Q4079" s="126"/>
    </row>
    <row r="4080" spans="11:17" ht="12.75">
      <c r="K4080" s="118"/>
      <c r="L4080" s="118"/>
      <c r="M4080" s="126"/>
      <c r="N4080" s="126"/>
      <c r="O4080" s="126"/>
      <c r="P4080" s="126"/>
      <c r="Q4080" s="126"/>
    </row>
    <row r="4081" spans="11:17" ht="12.75">
      <c r="K4081" s="118"/>
      <c r="L4081" s="118"/>
      <c r="M4081" s="126"/>
      <c r="N4081" s="126"/>
      <c r="O4081" s="126"/>
      <c r="P4081" s="126"/>
      <c r="Q4081" s="126"/>
    </row>
    <row r="4082" spans="11:17" ht="12.75">
      <c r="K4082" s="118"/>
      <c r="L4082" s="118"/>
      <c r="M4082" s="126"/>
      <c r="N4082" s="126"/>
      <c r="O4082" s="126"/>
      <c r="P4082" s="126"/>
      <c r="Q4082" s="126"/>
    </row>
    <row r="4083" spans="11:17" ht="12.75">
      <c r="K4083" s="118"/>
      <c r="L4083" s="118"/>
      <c r="M4083" s="126"/>
      <c r="N4083" s="126"/>
      <c r="O4083" s="126"/>
      <c r="P4083" s="126"/>
      <c r="Q4083" s="126"/>
    </row>
    <row r="4084" spans="11:17" ht="12.75">
      <c r="K4084" s="118"/>
      <c r="L4084" s="118"/>
      <c r="M4084" s="126"/>
      <c r="N4084" s="126"/>
      <c r="O4084" s="126"/>
      <c r="P4084" s="126"/>
      <c r="Q4084" s="126"/>
    </row>
    <row r="4085" spans="11:17" ht="12.75">
      <c r="K4085" s="118"/>
      <c r="L4085" s="118"/>
      <c r="M4085" s="126"/>
      <c r="N4085" s="126"/>
      <c r="O4085" s="126"/>
      <c r="P4085" s="126"/>
      <c r="Q4085" s="126"/>
    </row>
    <row r="4086" spans="11:17" ht="12.75">
      <c r="K4086" s="118"/>
      <c r="L4086" s="118"/>
      <c r="M4086" s="126"/>
      <c r="N4086" s="126"/>
      <c r="O4086" s="126"/>
      <c r="P4086" s="126"/>
      <c r="Q4086" s="126"/>
    </row>
    <row r="4087" spans="11:17" ht="12.75">
      <c r="K4087" s="118"/>
      <c r="L4087" s="118"/>
      <c r="M4087" s="126"/>
      <c r="N4087" s="126"/>
      <c r="O4087" s="126"/>
      <c r="P4087" s="126"/>
      <c r="Q4087" s="126"/>
    </row>
    <row r="4088" spans="11:17" ht="12.75">
      <c r="K4088" s="118"/>
      <c r="L4088" s="118"/>
      <c r="M4088" s="126"/>
      <c r="N4088" s="126"/>
      <c r="O4088" s="126"/>
      <c r="P4088" s="126"/>
      <c r="Q4088" s="126"/>
    </row>
    <row r="4089" spans="11:17" ht="12.75">
      <c r="K4089" s="118"/>
      <c r="L4089" s="118"/>
      <c r="M4089" s="126"/>
      <c r="N4089" s="126"/>
      <c r="O4089" s="126"/>
      <c r="P4089" s="126"/>
      <c r="Q4089" s="126"/>
    </row>
    <row r="4090" spans="11:17" ht="12.75">
      <c r="K4090" s="118"/>
      <c r="L4090" s="118"/>
      <c r="M4090" s="126"/>
      <c r="N4090" s="126"/>
      <c r="O4090" s="126"/>
      <c r="P4090" s="126"/>
      <c r="Q4090" s="126"/>
    </row>
    <row r="4091" spans="11:17" ht="12.75">
      <c r="K4091" s="118"/>
      <c r="L4091" s="118"/>
      <c r="M4091" s="126"/>
      <c r="N4091" s="126"/>
      <c r="O4091" s="126"/>
      <c r="P4091" s="126"/>
      <c r="Q4091" s="126"/>
    </row>
    <row r="4092" spans="11:17" ht="12.75">
      <c r="K4092" s="118"/>
      <c r="L4092" s="118"/>
      <c r="M4092" s="126"/>
      <c r="N4092" s="126"/>
      <c r="O4092" s="126"/>
      <c r="P4092" s="126"/>
      <c r="Q4092" s="126"/>
    </row>
    <row r="4093" spans="11:17" ht="12.75">
      <c r="K4093" s="118"/>
      <c r="L4093" s="118"/>
      <c r="M4093" s="126"/>
      <c r="N4093" s="126"/>
      <c r="O4093" s="126"/>
      <c r="P4093" s="126"/>
      <c r="Q4093" s="126"/>
    </row>
    <row r="4094" spans="11:17" ht="12.75">
      <c r="K4094" s="118"/>
      <c r="L4094" s="118"/>
      <c r="M4094" s="126"/>
      <c r="N4094" s="126"/>
      <c r="O4094" s="126"/>
      <c r="P4094" s="126"/>
      <c r="Q4094" s="126"/>
    </row>
    <row r="4095" spans="11:17" ht="12.75">
      <c r="K4095" s="118"/>
      <c r="L4095" s="118"/>
      <c r="M4095" s="126"/>
      <c r="N4095" s="126"/>
      <c r="O4095" s="126"/>
      <c r="P4095" s="126"/>
      <c r="Q4095" s="126"/>
    </row>
    <row r="4096" spans="11:17" ht="12.75">
      <c r="K4096" s="118"/>
      <c r="L4096" s="118"/>
      <c r="M4096" s="126"/>
      <c r="N4096" s="126"/>
      <c r="O4096" s="126"/>
      <c r="P4096" s="126"/>
      <c r="Q4096" s="126"/>
    </row>
    <row r="4097" spans="11:17" ht="12.75">
      <c r="K4097" s="118"/>
      <c r="L4097" s="118"/>
      <c r="M4097" s="126"/>
      <c r="N4097" s="126"/>
      <c r="O4097" s="126"/>
      <c r="P4097" s="126"/>
      <c r="Q4097" s="126"/>
    </row>
    <row r="4098" spans="11:17" ht="12.75">
      <c r="K4098" s="118"/>
      <c r="L4098" s="118"/>
      <c r="M4098" s="126"/>
      <c r="N4098" s="126"/>
      <c r="O4098" s="126"/>
      <c r="P4098" s="126"/>
      <c r="Q4098" s="126"/>
    </row>
    <row r="4099" spans="11:17" ht="12.75">
      <c r="K4099" s="118"/>
      <c r="L4099" s="118"/>
      <c r="M4099" s="126"/>
      <c r="N4099" s="126"/>
      <c r="O4099" s="126"/>
      <c r="P4099" s="126"/>
      <c r="Q4099" s="126"/>
    </row>
    <row r="4100" spans="11:17" ht="12.75">
      <c r="K4100" s="118"/>
      <c r="L4100" s="118"/>
      <c r="M4100" s="126"/>
      <c r="N4100" s="126"/>
      <c r="O4100" s="126"/>
      <c r="P4100" s="126"/>
      <c r="Q4100" s="126"/>
    </row>
    <row r="4101" spans="11:17" ht="12.75">
      <c r="K4101" s="118"/>
      <c r="L4101" s="118"/>
      <c r="M4101" s="126"/>
      <c r="N4101" s="126"/>
      <c r="O4101" s="126"/>
      <c r="P4101" s="126"/>
      <c r="Q4101" s="126"/>
    </row>
    <row r="4102" spans="11:17" ht="12.75">
      <c r="K4102" s="118"/>
      <c r="L4102" s="118"/>
      <c r="M4102" s="126"/>
      <c r="N4102" s="126"/>
      <c r="O4102" s="126"/>
      <c r="P4102" s="126"/>
      <c r="Q4102" s="126"/>
    </row>
    <row r="4103" spans="11:17" ht="12.75">
      <c r="K4103" s="118"/>
      <c r="L4103" s="118"/>
      <c r="M4103" s="126"/>
      <c r="N4103" s="126"/>
      <c r="O4103" s="126"/>
      <c r="P4103" s="126"/>
      <c r="Q4103" s="126"/>
    </row>
    <row r="4104" spans="11:17" ht="12.75">
      <c r="K4104" s="118"/>
      <c r="L4104" s="118"/>
      <c r="M4104" s="126"/>
      <c r="N4104" s="126"/>
      <c r="O4104" s="126"/>
      <c r="P4104" s="126"/>
      <c r="Q4104" s="126"/>
    </row>
    <row r="4105" spans="11:17" ht="12.75">
      <c r="K4105" s="118"/>
      <c r="L4105" s="118"/>
      <c r="M4105" s="126"/>
      <c r="N4105" s="126"/>
      <c r="O4105" s="126"/>
      <c r="P4105" s="126"/>
      <c r="Q4105" s="126"/>
    </row>
    <row r="4106" spans="11:17" ht="12.75">
      <c r="K4106" s="118"/>
      <c r="L4106" s="118"/>
      <c r="M4106" s="126"/>
      <c r="N4106" s="126"/>
      <c r="O4106" s="126"/>
      <c r="P4106" s="126"/>
      <c r="Q4106" s="126"/>
    </row>
    <row r="4107" spans="11:17" ht="12.75">
      <c r="K4107" s="118"/>
      <c r="L4107" s="118"/>
      <c r="M4107" s="126"/>
      <c r="N4107" s="126"/>
      <c r="O4107" s="126"/>
      <c r="P4107" s="126"/>
      <c r="Q4107" s="126"/>
    </row>
    <row r="4108" spans="11:17" ht="12.75">
      <c r="K4108" s="118"/>
      <c r="L4108" s="118"/>
      <c r="M4108" s="126"/>
      <c r="N4108" s="126"/>
      <c r="O4108" s="126"/>
      <c r="P4108" s="126"/>
      <c r="Q4108" s="126"/>
    </row>
    <row r="4109" spans="11:17" ht="12.75">
      <c r="K4109" s="118"/>
      <c r="L4109" s="118"/>
      <c r="M4109" s="126"/>
      <c r="N4109" s="126"/>
      <c r="O4109" s="126"/>
      <c r="P4109" s="126"/>
      <c r="Q4109" s="126"/>
    </row>
    <row r="4110" spans="11:17" ht="12.75">
      <c r="K4110" s="118"/>
      <c r="L4110" s="118"/>
      <c r="M4110" s="126"/>
      <c r="N4110" s="126"/>
      <c r="O4110" s="126"/>
      <c r="P4110" s="126"/>
      <c r="Q4110" s="126"/>
    </row>
    <row r="4111" spans="11:17" ht="12.75">
      <c r="K4111" s="118"/>
      <c r="L4111" s="118"/>
      <c r="M4111" s="126"/>
      <c r="N4111" s="126"/>
      <c r="O4111" s="126"/>
      <c r="P4111" s="126"/>
      <c r="Q4111" s="126"/>
    </row>
    <row r="4112" spans="11:17" ht="12.75">
      <c r="K4112" s="118"/>
      <c r="L4112" s="118"/>
      <c r="M4112" s="126"/>
      <c r="N4112" s="126"/>
      <c r="O4112" s="126"/>
      <c r="P4112" s="126"/>
      <c r="Q4112" s="126"/>
    </row>
    <row r="4113" spans="11:17" ht="12.75">
      <c r="K4113" s="118"/>
      <c r="L4113" s="118"/>
      <c r="M4113" s="126"/>
      <c r="N4113" s="126"/>
      <c r="O4113" s="126"/>
      <c r="P4113" s="126"/>
      <c r="Q4113" s="126"/>
    </row>
    <row r="4114" spans="11:17" ht="12.75">
      <c r="K4114" s="118"/>
      <c r="L4114" s="118"/>
      <c r="M4114" s="126"/>
      <c r="N4114" s="126"/>
      <c r="O4114" s="126"/>
      <c r="P4114" s="126"/>
      <c r="Q4114" s="126"/>
    </row>
    <row r="4115" spans="11:17" ht="12.75">
      <c r="K4115" s="118"/>
      <c r="L4115" s="118"/>
      <c r="M4115" s="126"/>
      <c r="N4115" s="126"/>
      <c r="O4115" s="126"/>
      <c r="P4115" s="126"/>
      <c r="Q4115" s="126"/>
    </row>
    <row r="4116" spans="11:17" ht="12.75">
      <c r="K4116" s="118"/>
      <c r="L4116" s="118"/>
      <c r="M4116" s="126"/>
      <c r="N4116" s="126"/>
      <c r="O4116" s="126"/>
      <c r="P4116" s="126"/>
      <c r="Q4116" s="126"/>
    </row>
    <row r="4117" spans="11:17" ht="12.75">
      <c r="K4117" s="118"/>
      <c r="L4117" s="118"/>
      <c r="M4117" s="126"/>
      <c r="N4117" s="126"/>
      <c r="O4117" s="126"/>
      <c r="P4117" s="126"/>
      <c r="Q4117" s="126"/>
    </row>
    <row r="4118" spans="11:17" ht="12.75">
      <c r="K4118" s="118"/>
      <c r="L4118" s="118"/>
      <c r="M4118" s="126"/>
      <c r="N4118" s="126"/>
      <c r="O4118" s="126"/>
      <c r="P4118" s="126"/>
      <c r="Q4118" s="126"/>
    </row>
    <row r="4119" spans="11:17" ht="12.75">
      <c r="K4119" s="118"/>
      <c r="L4119" s="118"/>
      <c r="M4119" s="126"/>
      <c r="N4119" s="126"/>
      <c r="O4119" s="126"/>
      <c r="P4119" s="126"/>
      <c r="Q4119" s="126"/>
    </row>
    <row r="4120" spans="11:17" ht="12.75">
      <c r="K4120" s="118"/>
      <c r="L4120" s="118"/>
      <c r="M4120" s="126"/>
      <c r="N4120" s="126"/>
      <c r="O4120" s="126"/>
      <c r="P4120" s="126"/>
      <c r="Q4120" s="126"/>
    </row>
    <row r="4121" spans="11:17" ht="12.75">
      <c r="K4121" s="118"/>
      <c r="L4121" s="118"/>
      <c r="M4121" s="126"/>
      <c r="N4121" s="126"/>
      <c r="O4121" s="126"/>
      <c r="P4121" s="126"/>
      <c r="Q4121" s="126"/>
    </row>
    <row r="4122" spans="11:17" ht="12.75">
      <c r="K4122" s="118"/>
      <c r="L4122" s="118"/>
      <c r="M4122" s="126"/>
      <c r="N4122" s="126"/>
      <c r="O4122" s="126"/>
      <c r="P4122" s="126"/>
      <c r="Q4122" s="126"/>
    </row>
    <row r="4123" spans="11:17" ht="12.75">
      <c r="K4123" s="118"/>
      <c r="L4123" s="118"/>
      <c r="M4123" s="126"/>
      <c r="N4123" s="126"/>
      <c r="O4123" s="126"/>
      <c r="P4123" s="126"/>
      <c r="Q4123" s="126"/>
    </row>
    <row r="4124" spans="11:17" ht="12.75">
      <c r="K4124" s="118"/>
      <c r="L4124" s="118"/>
      <c r="M4124" s="126"/>
      <c r="N4124" s="126"/>
      <c r="O4124" s="126"/>
      <c r="P4124" s="126"/>
      <c r="Q4124" s="126"/>
    </row>
    <row r="4125" spans="11:17" ht="12.75">
      <c r="K4125" s="118"/>
      <c r="L4125" s="118"/>
      <c r="M4125" s="126"/>
      <c r="N4125" s="126"/>
      <c r="O4125" s="126"/>
      <c r="P4125" s="126"/>
      <c r="Q4125" s="126"/>
    </row>
    <row r="4126" spans="11:17" ht="12.75">
      <c r="K4126" s="118"/>
      <c r="L4126" s="118"/>
      <c r="M4126" s="126"/>
      <c r="N4126" s="126"/>
      <c r="O4126" s="126"/>
      <c r="P4126" s="126"/>
      <c r="Q4126" s="126"/>
    </row>
    <row r="4127" spans="11:17" ht="12.75">
      <c r="K4127" s="118"/>
      <c r="L4127" s="118"/>
      <c r="M4127" s="126"/>
      <c r="N4127" s="126"/>
      <c r="O4127" s="126"/>
      <c r="P4127" s="126"/>
      <c r="Q4127" s="126"/>
    </row>
    <row r="4128" spans="11:17" ht="12.75">
      <c r="K4128" s="118"/>
      <c r="L4128" s="118"/>
      <c r="M4128" s="126"/>
      <c r="N4128" s="126"/>
      <c r="O4128" s="126"/>
      <c r="P4128" s="126"/>
      <c r="Q4128" s="126"/>
    </row>
    <row r="4129" spans="11:17" ht="12.75">
      <c r="K4129" s="118"/>
      <c r="L4129" s="118"/>
      <c r="M4129" s="126"/>
      <c r="N4129" s="126"/>
      <c r="O4129" s="126"/>
      <c r="P4129" s="126"/>
      <c r="Q4129" s="126"/>
    </row>
    <row r="4130" spans="11:17" ht="12.75">
      <c r="K4130" s="118"/>
      <c r="L4130" s="118"/>
      <c r="M4130" s="126"/>
      <c r="N4130" s="126"/>
      <c r="O4130" s="126"/>
      <c r="P4130" s="126"/>
      <c r="Q4130" s="126"/>
    </row>
    <row r="4131" spans="11:17" ht="12.75">
      <c r="K4131" s="118"/>
      <c r="L4131" s="118"/>
      <c r="M4131" s="126"/>
      <c r="N4131" s="126"/>
      <c r="O4131" s="126"/>
      <c r="P4131" s="126"/>
      <c r="Q4131" s="126"/>
    </row>
    <row r="4132" spans="11:17" ht="12.75">
      <c r="K4132" s="118"/>
      <c r="L4132" s="118"/>
      <c r="M4132" s="126"/>
      <c r="N4132" s="126"/>
      <c r="O4132" s="126"/>
      <c r="P4132" s="126"/>
      <c r="Q4132" s="126"/>
    </row>
    <row r="4133" spans="11:17" ht="12.75">
      <c r="K4133" s="118"/>
      <c r="L4133" s="118"/>
      <c r="M4133" s="126"/>
      <c r="N4133" s="126"/>
      <c r="O4133" s="126"/>
      <c r="P4133" s="126"/>
      <c r="Q4133" s="126"/>
    </row>
    <row r="4134" spans="11:17" ht="12.75">
      <c r="K4134" s="118"/>
      <c r="L4134" s="118"/>
      <c r="M4134" s="126"/>
      <c r="N4134" s="126"/>
      <c r="O4134" s="126"/>
      <c r="P4134" s="126"/>
      <c r="Q4134" s="126"/>
    </row>
    <row r="4135" spans="11:17" ht="12.75">
      <c r="K4135" s="118"/>
      <c r="L4135" s="118"/>
      <c r="M4135" s="126"/>
      <c r="N4135" s="126"/>
      <c r="O4135" s="126"/>
      <c r="P4135" s="126"/>
      <c r="Q4135" s="126"/>
    </row>
    <row r="4136" spans="11:17" ht="12.75">
      <c r="K4136" s="118"/>
      <c r="L4136" s="118"/>
      <c r="M4136" s="126"/>
      <c r="N4136" s="126"/>
      <c r="O4136" s="126"/>
      <c r="P4136" s="126"/>
      <c r="Q4136" s="126"/>
    </row>
    <row r="4137" spans="11:17" ht="12.75">
      <c r="K4137" s="118"/>
      <c r="L4137" s="118"/>
      <c r="M4137" s="126"/>
      <c r="N4137" s="126"/>
      <c r="O4137" s="126"/>
      <c r="P4137" s="126"/>
      <c r="Q4137" s="126"/>
    </row>
    <row r="4138" spans="11:17" ht="12.75">
      <c r="K4138" s="118"/>
      <c r="L4138" s="118"/>
      <c r="M4138" s="126"/>
      <c r="N4138" s="126"/>
      <c r="O4138" s="126"/>
      <c r="P4138" s="126"/>
      <c r="Q4138" s="126"/>
    </row>
    <row r="4139" spans="11:17" ht="12.75">
      <c r="K4139" s="118"/>
      <c r="L4139" s="118"/>
      <c r="M4139" s="126"/>
      <c r="N4139" s="126"/>
      <c r="O4139" s="126"/>
      <c r="P4139" s="126"/>
      <c r="Q4139" s="126"/>
    </row>
    <row r="4140" spans="11:17" ht="12.75">
      <c r="K4140" s="118"/>
      <c r="L4140" s="118"/>
      <c r="M4140" s="126"/>
      <c r="N4140" s="126"/>
      <c r="O4140" s="126"/>
      <c r="P4140" s="126"/>
      <c r="Q4140" s="126"/>
    </row>
    <row r="4141" spans="11:17" ht="12.75">
      <c r="K4141" s="118"/>
      <c r="L4141" s="118"/>
      <c r="M4141" s="126"/>
      <c r="N4141" s="126"/>
      <c r="O4141" s="126"/>
      <c r="P4141" s="126"/>
      <c r="Q4141" s="126"/>
    </row>
    <row r="4142" spans="11:17" ht="12.75">
      <c r="K4142" s="118"/>
      <c r="L4142" s="118"/>
      <c r="M4142" s="126"/>
      <c r="N4142" s="126"/>
      <c r="O4142" s="126"/>
      <c r="P4142" s="126"/>
      <c r="Q4142" s="126"/>
    </row>
    <row r="4143" spans="11:17" ht="12.75">
      <c r="K4143" s="118"/>
      <c r="L4143" s="118"/>
      <c r="M4143" s="126"/>
      <c r="N4143" s="126"/>
      <c r="O4143" s="126"/>
      <c r="P4143" s="126"/>
      <c r="Q4143" s="126"/>
    </row>
    <row r="4144" spans="11:17" ht="12.75">
      <c r="K4144" s="118"/>
      <c r="L4144" s="118"/>
      <c r="M4144" s="126"/>
      <c r="N4144" s="126"/>
      <c r="O4144" s="126"/>
      <c r="P4144" s="126"/>
      <c r="Q4144" s="126"/>
    </row>
    <row r="4145" spans="11:17" ht="12.75">
      <c r="K4145" s="118"/>
      <c r="L4145" s="118"/>
      <c r="M4145" s="126"/>
      <c r="N4145" s="126"/>
      <c r="O4145" s="126"/>
      <c r="P4145" s="126"/>
      <c r="Q4145" s="126"/>
    </row>
    <row r="4146" spans="11:17" ht="12.75">
      <c r="K4146" s="118"/>
      <c r="L4146" s="118"/>
      <c r="M4146" s="126"/>
      <c r="N4146" s="126"/>
      <c r="O4146" s="126"/>
      <c r="P4146" s="126"/>
      <c r="Q4146" s="126"/>
    </row>
    <row r="4147" spans="11:17" ht="12.75">
      <c r="K4147" s="118"/>
      <c r="L4147" s="118"/>
      <c r="M4147" s="126"/>
      <c r="N4147" s="126"/>
      <c r="O4147" s="126"/>
      <c r="P4147" s="126"/>
      <c r="Q4147" s="126"/>
    </row>
    <row r="4148" spans="11:17" ht="12.75">
      <c r="K4148" s="118"/>
      <c r="L4148" s="118"/>
      <c r="M4148" s="126"/>
      <c r="N4148" s="126"/>
      <c r="O4148" s="126"/>
      <c r="P4148" s="126"/>
      <c r="Q4148" s="126"/>
    </row>
    <row r="4149" spans="11:17" ht="12.75">
      <c r="K4149" s="118"/>
      <c r="L4149" s="118"/>
      <c r="M4149" s="126"/>
      <c r="N4149" s="126"/>
      <c r="O4149" s="126"/>
      <c r="P4149" s="126"/>
      <c r="Q4149" s="126"/>
    </row>
    <row r="4150" spans="11:17" ht="12.75">
      <c r="K4150" s="118"/>
      <c r="L4150" s="118"/>
      <c r="M4150" s="126"/>
      <c r="N4150" s="126"/>
      <c r="O4150" s="126"/>
      <c r="P4150" s="126"/>
      <c r="Q4150" s="126"/>
    </row>
    <row r="4151" spans="11:17" ht="12.75">
      <c r="K4151" s="118"/>
      <c r="L4151" s="118"/>
      <c r="M4151" s="126"/>
      <c r="N4151" s="126"/>
      <c r="O4151" s="126"/>
      <c r="P4151" s="126"/>
      <c r="Q4151" s="126"/>
    </row>
    <row r="4152" spans="11:17" ht="12.75">
      <c r="K4152" s="118"/>
      <c r="L4152" s="118"/>
      <c r="M4152" s="126"/>
      <c r="N4152" s="126"/>
      <c r="O4152" s="126"/>
      <c r="P4152" s="126"/>
      <c r="Q4152" s="126"/>
    </row>
    <row r="4153" spans="11:17" ht="12.75">
      <c r="K4153" s="118"/>
      <c r="L4153" s="118"/>
      <c r="M4153" s="126"/>
      <c r="N4153" s="126"/>
      <c r="O4153" s="126"/>
      <c r="P4153" s="126"/>
      <c r="Q4153" s="126"/>
    </row>
    <row r="4154" spans="11:17" ht="12.75">
      <c r="K4154" s="118"/>
      <c r="L4154" s="118"/>
      <c r="M4154" s="126"/>
      <c r="N4154" s="126"/>
      <c r="O4154" s="126"/>
      <c r="P4154" s="126"/>
      <c r="Q4154" s="126"/>
    </row>
    <row r="4155" spans="11:17" ht="12.75">
      <c r="K4155" s="118"/>
      <c r="L4155" s="118"/>
      <c r="M4155" s="126"/>
      <c r="N4155" s="126"/>
      <c r="O4155" s="126"/>
      <c r="P4155" s="126"/>
      <c r="Q4155" s="126"/>
    </row>
    <row r="4156" spans="11:17" ht="12.75">
      <c r="K4156" s="118"/>
      <c r="L4156" s="118"/>
      <c r="M4156" s="126"/>
      <c r="N4156" s="126"/>
      <c r="O4156" s="126"/>
      <c r="P4156" s="126"/>
      <c r="Q4156" s="126"/>
    </row>
    <row r="4157" spans="11:17" ht="12.75">
      <c r="K4157" s="118"/>
      <c r="L4157" s="118"/>
      <c r="M4157" s="126"/>
      <c r="N4157" s="126"/>
      <c r="O4157" s="126"/>
      <c r="P4157" s="126"/>
      <c r="Q4157" s="126"/>
    </row>
    <row r="4158" spans="11:17" ht="12.75">
      <c r="K4158" s="118"/>
      <c r="L4158" s="118"/>
      <c r="M4158" s="126"/>
      <c r="N4158" s="126"/>
      <c r="O4158" s="126"/>
      <c r="P4158" s="126"/>
      <c r="Q4158" s="126"/>
    </row>
    <row r="4159" spans="11:17" ht="12.75">
      <c r="K4159" s="118"/>
      <c r="L4159" s="118"/>
      <c r="M4159" s="126"/>
      <c r="N4159" s="126"/>
      <c r="O4159" s="126"/>
      <c r="P4159" s="126"/>
      <c r="Q4159" s="126"/>
    </row>
    <row r="4160" spans="11:17" ht="12.75">
      <c r="K4160" s="118"/>
      <c r="L4160" s="118"/>
      <c r="M4160" s="126"/>
      <c r="N4160" s="126"/>
      <c r="O4160" s="126"/>
      <c r="P4160" s="126"/>
      <c r="Q4160" s="126"/>
    </row>
    <row r="4161" spans="11:17" ht="12.75">
      <c r="K4161" s="118"/>
      <c r="L4161" s="118"/>
      <c r="M4161" s="126"/>
      <c r="N4161" s="126"/>
      <c r="O4161" s="126"/>
      <c r="P4161" s="126"/>
      <c r="Q4161" s="126"/>
    </row>
    <row r="4162" spans="11:17" ht="12.75">
      <c r="K4162" s="118"/>
      <c r="L4162" s="118"/>
      <c r="M4162" s="126"/>
      <c r="N4162" s="126"/>
      <c r="O4162" s="126"/>
      <c r="P4162" s="126"/>
      <c r="Q4162" s="126"/>
    </row>
    <row r="4163" spans="11:17" ht="12.75">
      <c r="K4163" s="118"/>
      <c r="L4163" s="118"/>
      <c r="M4163" s="126"/>
      <c r="N4163" s="126"/>
      <c r="O4163" s="126"/>
      <c r="P4163" s="126"/>
      <c r="Q4163" s="126"/>
    </row>
    <row r="4164" spans="11:17" ht="12.75">
      <c r="K4164" s="118"/>
      <c r="L4164" s="118"/>
      <c r="M4164" s="126"/>
      <c r="N4164" s="126"/>
      <c r="O4164" s="126"/>
      <c r="P4164" s="126"/>
      <c r="Q4164" s="126"/>
    </row>
    <row r="4165" spans="11:17" ht="12.75">
      <c r="K4165" s="118"/>
      <c r="L4165" s="118"/>
      <c r="M4165" s="126"/>
      <c r="N4165" s="126"/>
      <c r="O4165" s="126"/>
      <c r="P4165" s="126"/>
      <c r="Q4165" s="126"/>
    </row>
    <row r="4166" spans="11:17" ht="12.75">
      <c r="K4166" s="118"/>
      <c r="L4166" s="118"/>
      <c r="M4166" s="126"/>
      <c r="N4166" s="126"/>
      <c r="O4166" s="126"/>
      <c r="P4166" s="126"/>
      <c r="Q4166" s="126"/>
    </row>
    <row r="4167" spans="11:17" ht="12.75">
      <c r="K4167" s="118"/>
      <c r="L4167" s="118"/>
      <c r="M4167" s="126"/>
      <c r="N4167" s="126"/>
      <c r="O4167" s="126"/>
      <c r="P4167" s="126"/>
      <c r="Q4167" s="126"/>
    </row>
    <row r="4168" spans="11:17" ht="12.75">
      <c r="K4168" s="118"/>
      <c r="L4168" s="118"/>
      <c r="M4168" s="126"/>
      <c r="N4168" s="126"/>
      <c r="O4168" s="126"/>
      <c r="P4168" s="126"/>
      <c r="Q4168" s="126"/>
    </row>
    <row r="4169" spans="11:17" ht="12.75">
      <c r="K4169" s="118"/>
      <c r="L4169" s="118"/>
      <c r="M4169" s="126"/>
      <c r="N4169" s="126"/>
      <c r="O4169" s="126"/>
      <c r="P4169" s="126"/>
      <c r="Q4169" s="126"/>
    </row>
    <row r="4170" spans="11:17" ht="12.75">
      <c r="K4170" s="118"/>
      <c r="L4170" s="118"/>
      <c r="M4170" s="126"/>
      <c r="N4170" s="126"/>
      <c r="O4170" s="126"/>
      <c r="P4170" s="126"/>
      <c r="Q4170" s="126"/>
    </row>
    <row r="4171" spans="11:17" ht="12.75">
      <c r="K4171" s="118"/>
      <c r="L4171" s="118"/>
      <c r="M4171" s="126"/>
      <c r="N4171" s="126"/>
      <c r="O4171" s="126"/>
      <c r="P4171" s="126"/>
      <c r="Q4171" s="126"/>
    </row>
    <row r="4172" spans="11:17" ht="12.75">
      <c r="K4172" s="118"/>
      <c r="L4172" s="118"/>
      <c r="M4172" s="126"/>
      <c r="N4172" s="126"/>
      <c r="O4172" s="126"/>
      <c r="P4172" s="126"/>
      <c r="Q4172" s="126"/>
    </row>
    <row r="4173" spans="11:17" ht="12.75">
      <c r="K4173" s="118"/>
      <c r="L4173" s="118"/>
      <c r="M4173" s="126"/>
      <c r="N4173" s="126"/>
      <c r="O4173" s="126"/>
      <c r="P4173" s="126"/>
      <c r="Q4173" s="126"/>
    </row>
    <row r="4174" spans="11:17" ht="12.75">
      <c r="K4174" s="118"/>
      <c r="L4174" s="118"/>
      <c r="M4174" s="126"/>
      <c r="N4174" s="126"/>
      <c r="O4174" s="126"/>
      <c r="P4174" s="126"/>
      <c r="Q4174" s="126"/>
    </row>
    <row r="4175" spans="11:17" ht="12.75">
      <c r="K4175" s="118"/>
      <c r="L4175" s="118"/>
      <c r="M4175" s="126"/>
      <c r="N4175" s="126"/>
      <c r="O4175" s="126"/>
      <c r="P4175" s="126"/>
      <c r="Q4175" s="126"/>
    </row>
    <row r="4176" spans="11:17" ht="12.75">
      <c r="K4176" s="118"/>
      <c r="L4176" s="118"/>
      <c r="M4176" s="126"/>
      <c r="N4176" s="126"/>
      <c r="O4176" s="126"/>
      <c r="P4176" s="126"/>
      <c r="Q4176" s="126"/>
    </row>
    <row r="4177" spans="11:17" ht="12.75">
      <c r="K4177" s="118"/>
      <c r="L4177" s="118"/>
      <c r="M4177" s="126"/>
      <c r="N4177" s="126"/>
      <c r="O4177" s="126"/>
      <c r="P4177" s="126"/>
      <c r="Q4177" s="126"/>
    </row>
    <row r="4178" spans="11:17" ht="12.75">
      <c r="K4178" s="118"/>
      <c r="L4178" s="118"/>
      <c r="M4178" s="126"/>
      <c r="N4178" s="126"/>
      <c r="O4178" s="126"/>
      <c r="P4178" s="126"/>
      <c r="Q4178" s="126"/>
    </row>
    <row r="4179" spans="11:17" ht="12.75">
      <c r="K4179" s="118"/>
      <c r="L4179" s="118"/>
      <c r="M4179" s="126"/>
      <c r="N4179" s="126"/>
      <c r="O4179" s="126"/>
      <c r="P4179" s="126"/>
      <c r="Q4179" s="126"/>
    </row>
    <row r="4180" spans="11:17" ht="12.75">
      <c r="K4180" s="118"/>
      <c r="L4180" s="118"/>
      <c r="M4180" s="126"/>
      <c r="N4180" s="126"/>
      <c r="O4180" s="126"/>
      <c r="P4180" s="126"/>
      <c r="Q4180" s="126"/>
    </row>
    <row r="4181" spans="11:17" ht="12.75">
      <c r="K4181" s="118"/>
      <c r="L4181" s="118"/>
      <c r="M4181" s="126"/>
      <c r="N4181" s="126"/>
      <c r="O4181" s="126"/>
      <c r="P4181" s="126"/>
      <c r="Q4181" s="126"/>
    </row>
    <row r="4182" spans="11:17" ht="12.75">
      <c r="K4182" s="118"/>
      <c r="L4182" s="118"/>
      <c r="M4182" s="126"/>
      <c r="N4182" s="126"/>
      <c r="O4182" s="126"/>
      <c r="P4182" s="126"/>
      <c r="Q4182" s="126"/>
    </row>
    <row r="4183" spans="11:17" ht="12.75">
      <c r="K4183" s="118"/>
      <c r="L4183" s="118"/>
      <c r="M4183" s="126"/>
      <c r="N4183" s="126"/>
      <c r="O4183" s="126"/>
      <c r="P4183" s="126"/>
      <c r="Q4183" s="126"/>
    </row>
    <row r="4184" spans="11:17" ht="12.75">
      <c r="K4184" s="118"/>
      <c r="L4184" s="118"/>
      <c r="M4184" s="126"/>
      <c r="N4184" s="126"/>
      <c r="O4184" s="126"/>
      <c r="P4184" s="126"/>
      <c r="Q4184" s="126"/>
    </row>
    <row r="4185" spans="11:17" ht="12.75">
      <c r="K4185" s="118"/>
      <c r="L4185" s="118"/>
      <c r="M4185" s="126"/>
      <c r="N4185" s="126"/>
      <c r="O4185" s="126"/>
      <c r="P4185" s="126"/>
      <c r="Q4185" s="126"/>
    </row>
    <row r="4186" spans="11:17" ht="12.75">
      <c r="K4186" s="118"/>
      <c r="L4186" s="118"/>
      <c r="M4186" s="126"/>
      <c r="N4186" s="126"/>
      <c r="O4186" s="126"/>
      <c r="P4186" s="126"/>
      <c r="Q4186" s="126"/>
    </row>
    <row r="4187" spans="11:17" ht="12.75">
      <c r="K4187" s="118"/>
      <c r="L4187" s="118"/>
      <c r="M4187" s="126"/>
      <c r="N4187" s="126"/>
      <c r="O4187" s="126"/>
      <c r="P4187" s="126"/>
      <c r="Q4187" s="126"/>
    </row>
    <row r="4188" spans="11:17" ht="12.75">
      <c r="K4188" s="118"/>
      <c r="L4188" s="118"/>
      <c r="M4188" s="126"/>
      <c r="N4188" s="126"/>
      <c r="O4188" s="126"/>
      <c r="P4188" s="126"/>
      <c r="Q4188" s="126"/>
    </row>
    <row r="4189" spans="11:17" ht="12.75">
      <c r="K4189" s="118"/>
      <c r="L4189" s="118"/>
      <c r="M4189" s="126"/>
      <c r="N4189" s="126"/>
      <c r="O4189" s="126"/>
      <c r="P4189" s="126"/>
      <c r="Q4189" s="126"/>
    </row>
    <row r="4190" spans="11:17" ht="12.75">
      <c r="K4190" s="118"/>
      <c r="L4190" s="118"/>
      <c r="M4190" s="126"/>
      <c r="N4190" s="126"/>
      <c r="O4190" s="126"/>
      <c r="P4190" s="126"/>
      <c r="Q4190" s="126"/>
    </row>
    <row r="4191" spans="11:17" ht="12.75">
      <c r="K4191" s="118"/>
      <c r="L4191" s="118"/>
      <c r="M4191" s="126"/>
      <c r="N4191" s="126"/>
      <c r="O4191" s="126"/>
      <c r="P4191" s="126"/>
      <c r="Q4191" s="126"/>
    </row>
    <row r="4192" spans="11:17" ht="12.75">
      <c r="K4192" s="118"/>
      <c r="L4192" s="118"/>
      <c r="M4192" s="126"/>
      <c r="N4192" s="126"/>
      <c r="O4192" s="126"/>
      <c r="P4192" s="126"/>
      <c r="Q4192" s="126"/>
    </row>
    <row r="4193" spans="11:17" ht="12.75">
      <c r="K4193" s="118"/>
      <c r="L4193" s="118"/>
      <c r="M4193" s="126"/>
      <c r="N4193" s="126"/>
      <c r="O4193" s="126"/>
      <c r="P4193" s="126"/>
      <c r="Q4193" s="126"/>
    </row>
    <row r="4194" spans="11:17" ht="12.75">
      <c r="K4194" s="118"/>
      <c r="L4194" s="118"/>
      <c r="M4194" s="126"/>
      <c r="N4194" s="126"/>
      <c r="O4194" s="126"/>
      <c r="P4194" s="126"/>
      <c r="Q4194" s="126"/>
    </row>
    <row r="4195" spans="11:17" ht="12.75">
      <c r="K4195" s="118"/>
      <c r="L4195" s="118"/>
      <c r="M4195" s="126"/>
      <c r="N4195" s="126"/>
      <c r="O4195" s="126"/>
      <c r="P4195" s="126"/>
      <c r="Q4195" s="126"/>
    </row>
    <row r="4196" spans="11:17" ht="12.75">
      <c r="K4196" s="118"/>
      <c r="L4196" s="118"/>
      <c r="M4196" s="126"/>
      <c r="N4196" s="126"/>
      <c r="O4196" s="126"/>
      <c r="P4196" s="126"/>
      <c r="Q4196" s="126"/>
    </row>
    <row r="4197" spans="11:17" ht="12.75">
      <c r="K4197" s="118"/>
      <c r="L4197" s="118"/>
      <c r="M4197" s="126"/>
      <c r="N4197" s="126"/>
      <c r="O4197" s="126"/>
      <c r="P4197" s="126"/>
      <c r="Q4197" s="126"/>
    </row>
    <row r="4198" spans="11:17" ht="12.75">
      <c r="K4198" s="118"/>
      <c r="L4198" s="118"/>
      <c r="M4198" s="126"/>
      <c r="N4198" s="126"/>
      <c r="O4198" s="126"/>
      <c r="P4198" s="126"/>
      <c r="Q4198" s="126"/>
    </row>
    <row r="4199" spans="11:17" ht="12.75">
      <c r="K4199" s="118"/>
      <c r="L4199" s="118"/>
      <c r="M4199" s="126"/>
      <c r="N4199" s="126"/>
      <c r="O4199" s="126"/>
      <c r="P4199" s="126"/>
      <c r="Q4199" s="126"/>
    </row>
    <row r="4200" spans="11:17" ht="12.75">
      <c r="K4200" s="118"/>
      <c r="L4200" s="118"/>
      <c r="M4200" s="126"/>
      <c r="N4200" s="126"/>
      <c r="O4200" s="126"/>
      <c r="P4200" s="126"/>
      <c r="Q4200" s="126"/>
    </row>
    <row r="4201" spans="11:17" ht="12.75">
      <c r="K4201" s="118"/>
      <c r="L4201" s="118"/>
      <c r="M4201" s="126"/>
      <c r="N4201" s="126"/>
      <c r="O4201" s="126"/>
      <c r="P4201" s="126"/>
      <c r="Q4201" s="126"/>
    </row>
    <row r="4202" spans="11:17" ht="12.75">
      <c r="K4202" s="118"/>
      <c r="L4202" s="118"/>
      <c r="M4202" s="126"/>
      <c r="N4202" s="126"/>
      <c r="O4202" s="126"/>
      <c r="P4202" s="126"/>
      <c r="Q4202" s="126"/>
    </row>
    <row r="4203" spans="11:17" ht="12.75">
      <c r="K4203" s="118"/>
      <c r="L4203" s="118"/>
      <c r="M4203" s="126"/>
      <c r="N4203" s="126"/>
      <c r="O4203" s="126"/>
      <c r="P4203" s="126"/>
      <c r="Q4203" s="126"/>
    </row>
    <row r="4204" spans="11:17" ht="12.75">
      <c r="K4204" s="118"/>
      <c r="L4204" s="118"/>
      <c r="M4204" s="126"/>
      <c r="N4204" s="126"/>
      <c r="O4204" s="126"/>
      <c r="P4204" s="126"/>
      <c r="Q4204" s="126"/>
    </row>
    <row r="4205" spans="11:17" ht="12.75">
      <c r="K4205" s="118"/>
      <c r="L4205" s="118"/>
      <c r="M4205" s="126"/>
      <c r="N4205" s="126"/>
      <c r="O4205" s="126"/>
      <c r="P4205" s="126"/>
      <c r="Q4205" s="126"/>
    </row>
    <row r="4206" spans="11:17" ht="12.75">
      <c r="K4206" s="118"/>
      <c r="L4206" s="118"/>
      <c r="M4206" s="126"/>
      <c r="N4206" s="126"/>
      <c r="O4206" s="126"/>
      <c r="P4206" s="126"/>
      <c r="Q4206" s="126"/>
    </row>
    <row r="4207" spans="11:17" ht="12.75">
      <c r="K4207" s="118"/>
      <c r="L4207" s="118"/>
      <c r="M4207" s="126"/>
      <c r="N4207" s="126"/>
      <c r="O4207" s="126"/>
      <c r="P4207" s="126"/>
      <c r="Q4207" s="126"/>
    </row>
    <row r="4208" spans="11:17" ht="12.75">
      <c r="K4208" s="118"/>
      <c r="L4208" s="118"/>
      <c r="M4208" s="126"/>
      <c r="N4208" s="126"/>
      <c r="O4208" s="126"/>
      <c r="P4208" s="126"/>
      <c r="Q4208" s="126"/>
    </row>
    <row r="4209" spans="11:17" ht="12.75">
      <c r="K4209" s="118"/>
      <c r="L4209" s="118"/>
      <c r="M4209" s="126"/>
      <c r="N4209" s="126"/>
      <c r="O4209" s="126"/>
      <c r="P4209" s="126"/>
      <c r="Q4209" s="126"/>
    </row>
    <row r="4210" spans="11:17" ht="12.75">
      <c r="K4210" s="118"/>
      <c r="L4210" s="118"/>
      <c r="M4210" s="126"/>
      <c r="N4210" s="126"/>
      <c r="O4210" s="126"/>
      <c r="P4210" s="126"/>
      <c r="Q4210" s="126"/>
    </row>
    <row r="4211" spans="11:17" ht="12.75">
      <c r="K4211" s="118"/>
      <c r="L4211" s="118"/>
      <c r="M4211" s="126"/>
      <c r="N4211" s="126"/>
      <c r="O4211" s="126"/>
      <c r="P4211" s="126"/>
      <c r="Q4211" s="126"/>
    </row>
    <row r="4212" spans="11:17" ht="12.75">
      <c r="K4212" s="118"/>
      <c r="L4212" s="118"/>
      <c r="M4212" s="126"/>
      <c r="N4212" s="126"/>
      <c r="O4212" s="126"/>
      <c r="P4212" s="126"/>
      <c r="Q4212" s="126"/>
    </row>
    <row r="4213" spans="11:17" ht="12.75">
      <c r="K4213" s="118"/>
      <c r="L4213" s="118"/>
      <c r="M4213" s="126"/>
      <c r="N4213" s="126"/>
      <c r="O4213" s="126"/>
      <c r="P4213" s="126"/>
      <c r="Q4213" s="126"/>
    </row>
    <row r="4214" spans="11:17" ht="12.75">
      <c r="K4214" s="118"/>
      <c r="L4214" s="118"/>
      <c r="M4214" s="126"/>
      <c r="N4214" s="126"/>
      <c r="O4214" s="126"/>
      <c r="P4214" s="126"/>
      <c r="Q4214" s="126"/>
    </row>
    <row r="4215" spans="11:17" ht="12.75">
      <c r="K4215" s="118"/>
      <c r="L4215" s="118"/>
      <c r="M4215" s="126"/>
      <c r="N4215" s="126"/>
      <c r="O4215" s="126"/>
      <c r="P4215" s="126"/>
      <c r="Q4215" s="126"/>
    </row>
    <row r="4216" spans="11:17" ht="12.75">
      <c r="K4216" s="118"/>
      <c r="L4216" s="118"/>
      <c r="M4216" s="126"/>
      <c r="N4216" s="126"/>
      <c r="O4216" s="126"/>
      <c r="P4216" s="126"/>
      <c r="Q4216" s="126"/>
    </row>
    <row r="4217" spans="11:17" ht="12.75">
      <c r="K4217" s="118"/>
      <c r="L4217" s="118"/>
      <c r="M4217" s="126"/>
      <c r="N4217" s="126"/>
      <c r="O4217" s="126"/>
      <c r="P4217" s="126"/>
      <c r="Q4217" s="126"/>
    </row>
    <row r="4218" spans="11:17" ht="12.75">
      <c r="K4218" s="118"/>
      <c r="L4218" s="118"/>
      <c r="M4218" s="126"/>
      <c r="N4218" s="126"/>
      <c r="O4218" s="126"/>
      <c r="P4218" s="126"/>
      <c r="Q4218" s="126"/>
    </row>
    <row r="4219" spans="11:17" ht="12.75">
      <c r="K4219" s="118"/>
      <c r="L4219" s="118"/>
      <c r="M4219" s="126"/>
      <c r="N4219" s="126"/>
      <c r="O4219" s="126"/>
      <c r="P4219" s="126"/>
      <c r="Q4219" s="126"/>
    </row>
    <row r="4220" spans="11:17" ht="12.75">
      <c r="K4220" s="118"/>
      <c r="L4220" s="118"/>
      <c r="M4220" s="126"/>
      <c r="N4220" s="126"/>
      <c r="O4220" s="126"/>
      <c r="P4220" s="126"/>
      <c r="Q4220" s="126"/>
    </row>
    <row r="4221" spans="11:17" ht="12.75">
      <c r="K4221" s="118"/>
      <c r="L4221" s="118"/>
      <c r="M4221" s="126"/>
      <c r="N4221" s="126"/>
      <c r="O4221" s="126"/>
      <c r="P4221" s="126"/>
      <c r="Q4221" s="126"/>
    </row>
    <row r="4222" spans="11:17" ht="12.75">
      <c r="K4222" s="118"/>
      <c r="L4222" s="118"/>
      <c r="M4222" s="126"/>
      <c r="N4222" s="126"/>
      <c r="O4222" s="126"/>
      <c r="P4222" s="126"/>
      <c r="Q4222" s="126"/>
    </row>
    <row r="4223" spans="11:17" ht="12.75">
      <c r="K4223" s="118"/>
      <c r="L4223" s="118"/>
      <c r="M4223" s="126"/>
      <c r="N4223" s="126"/>
      <c r="O4223" s="126"/>
      <c r="P4223" s="126"/>
      <c r="Q4223" s="126"/>
    </row>
    <row r="4224" spans="11:17" ht="12.75">
      <c r="K4224" s="118"/>
      <c r="L4224" s="118"/>
      <c r="M4224" s="126"/>
      <c r="N4224" s="126"/>
      <c r="O4224" s="126"/>
      <c r="P4224" s="126"/>
      <c r="Q4224" s="126"/>
    </row>
    <row r="4225" spans="11:17" ht="12.75">
      <c r="K4225" s="118"/>
      <c r="L4225" s="118"/>
      <c r="M4225" s="126"/>
      <c r="N4225" s="126"/>
      <c r="O4225" s="126"/>
      <c r="P4225" s="126"/>
      <c r="Q4225" s="126"/>
    </row>
    <row r="4226" spans="11:17" ht="12.75">
      <c r="K4226" s="118"/>
      <c r="L4226" s="118"/>
      <c r="M4226" s="126"/>
      <c r="N4226" s="126"/>
      <c r="O4226" s="126"/>
      <c r="P4226" s="126"/>
      <c r="Q4226" s="126"/>
    </row>
    <row r="4227" spans="11:17" ht="12.75">
      <c r="K4227" s="118"/>
      <c r="L4227" s="118"/>
      <c r="M4227" s="126"/>
      <c r="N4227" s="126"/>
      <c r="O4227" s="126"/>
      <c r="P4227" s="126"/>
      <c r="Q4227" s="126"/>
    </row>
    <row r="4228" spans="11:17" ht="12.75">
      <c r="K4228" s="118"/>
      <c r="L4228" s="118"/>
      <c r="M4228" s="126"/>
      <c r="N4228" s="126"/>
      <c r="O4228" s="126"/>
      <c r="P4228" s="126"/>
      <c r="Q4228" s="126"/>
    </row>
    <row r="4229" spans="11:17" ht="12.75">
      <c r="K4229" s="118"/>
      <c r="L4229" s="118"/>
      <c r="M4229" s="126"/>
      <c r="N4229" s="126"/>
      <c r="O4229" s="126"/>
      <c r="P4229" s="126"/>
      <c r="Q4229" s="126"/>
    </row>
    <row r="4230" spans="11:17" ht="12.75">
      <c r="K4230" s="118"/>
      <c r="L4230" s="118"/>
      <c r="M4230" s="126"/>
      <c r="N4230" s="126"/>
      <c r="O4230" s="126"/>
      <c r="P4230" s="126"/>
      <c r="Q4230" s="126"/>
    </row>
    <row r="4231" spans="11:17" ht="12.75">
      <c r="K4231" s="118"/>
      <c r="L4231" s="118"/>
      <c r="M4231" s="126"/>
      <c r="N4231" s="126"/>
      <c r="O4231" s="126"/>
      <c r="P4231" s="126"/>
      <c r="Q4231" s="126"/>
    </row>
    <row r="4232" spans="11:17" ht="12.75">
      <c r="K4232" s="118"/>
      <c r="L4232" s="118"/>
      <c r="M4232" s="126"/>
      <c r="N4232" s="126"/>
      <c r="O4232" s="126"/>
      <c r="P4232" s="126"/>
      <c r="Q4232" s="126"/>
    </row>
    <row r="4233" spans="11:17" ht="12.75">
      <c r="K4233" s="118"/>
      <c r="L4233" s="118"/>
      <c r="M4233" s="126"/>
      <c r="N4233" s="126"/>
      <c r="O4233" s="126"/>
      <c r="P4233" s="126"/>
      <c r="Q4233" s="126"/>
    </row>
    <row r="4234" spans="11:17" ht="12.75">
      <c r="K4234" s="118"/>
      <c r="L4234" s="118"/>
      <c r="M4234" s="126"/>
      <c r="N4234" s="126"/>
      <c r="O4234" s="126"/>
      <c r="P4234" s="126"/>
      <c r="Q4234" s="126"/>
    </row>
    <row r="4235" spans="11:17" ht="12.75">
      <c r="K4235" s="118"/>
      <c r="L4235" s="118"/>
      <c r="M4235" s="126"/>
      <c r="N4235" s="126"/>
      <c r="O4235" s="126"/>
      <c r="P4235" s="126"/>
      <c r="Q4235" s="126"/>
    </row>
    <row r="4236" spans="11:17" ht="12.75">
      <c r="K4236" s="118"/>
      <c r="L4236" s="118"/>
      <c r="M4236" s="126"/>
      <c r="N4236" s="126"/>
      <c r="O4236" s="126"/>
      <c r="P4236" s="126"/>
      <c r="Q4236" s="126"/>
    </row>
    <row r="4237" spans="11:17" ht="12.75">
      <c r="K4237" s="118"/>
      <c r="L4237" s="118"/>
      <c r="M4237" s="126"/>
      <c r="N4237" s="126"/>
      <c r="O4237" s="126"/>
      <c r="P4237" s="126"/>
      <c r="Q4237" s="126"/>
    </row>
    <row r="4238" spans="11:17" ht="12.75">
      <c r="K4238" s="118"/>
      <c r="L4238" s="118"/>
      <c r="M4238" s="126"/>
      <c r="N4238" s="126"/>
      <c r="O4238" s="126"/>
      <c r="P4238" s="126"/>
      <c r="Q4238" s="126"/>
    </row>
    <row r="4239" spans="11:17" ht="12.75">
      <c r="K4239" s="118"/>
      <c r="L4239" s="118"/>
      <c r="M4239" s="126"/>
      <c r="N4239" s="126"/>
      <c r="O4239" s="126"/>
      <c r="P4239" s="126"/>
      <c r="Q4239" s="126"/>
    </row>
    <row r="4240" spans="11:17" ht="12.75">
      <c r="K4240" s="118"/>
      <c r="L4240" s="118"/>
      <c r="M4240" s="126"/>
      <c r="N4240" s="126"/>
      <c r="O4240" s="126"/>
      <c r="P4240" s="126"/>
      <c r="Q4240" s="126"/>
    </row>
    <row r="4241" spans="11:17" ht="12.75">
      <c r="K4241" s="118"/>
      <c r="L4241" s="118"/>
      <c r="M4241" s="126"/>
      <c r="N4241" s="126"/>
      <c r="O4241" s="126"/>
      <c r="P4241" s="126"/>
      <c r="Q4241" s="126"/>
    </row>
    <row r="4242" spans="11:17" ht="12.75">
      <c r="K4242" s="118"/>
      <c r="L4242" s="118"/>
      <c r="M4242" s="126"/>
      <c r="N4242" s="126"/>
      <c r="O4242" s="126"/>
      <c r="P4242" s="126"/>
      <c r="Q4242" s="126"/>
    </row>
    <row r="4243" spans="11:17" ht="12.75">
      <c r="K4243" s="118"/>
      <c r="L4243" s="118"/>
      <c r="M4243" s="126"/>
      <c r="N4243" s="126"/>
      <c r="O4243" s="126"/>
      <c r="P4243" s="126"/>
      <c r="Q4243" s="126"/>
    </row>
    <row r="4244" spans="11:17" ht="12.75">
      <c r="K4244" s="118"/>
      <c r="L4244" s="118"/>
      <c r="M4244" s="126"/>
      <c r="N4244" s="126"/>
      <c r="O4244" s="126"/>
      <c r="P4244" s="126"/>
      <c r="Q4244" s="126"/>
    </row>
    <row r="4245" spans="11:17" ht="12.75">
      <c r="K4245" s="118"/>
      <c r="L4245" s="118"/>
      <c r="M4245" s="126"/>
      <c r="N4245" s="126"/>
      <c r="O4245" s="126"/>
      <c r="P4245" s="126"/>
      <c r="Q4245" s="126"/>
    </row>
    <row r="4246" spans="11:17" ht="12.75">
      <c r="K4246" s="118"/>
      <c r="L4246" s="118"/>
      <c r="M4246" s="126"/>
      <c r="N4246" s="126"/>
      <c r="O4246" s="126"/>
      <c r="P4246" s="126"/>
      <c r="Q4246" s="126"/>
    </row>
    <row r="4247" spans="11:17" ht="12.75">
      <c r="K4247" s="118"/>
      <c r="L4247" s="118"/>
      <c r="M4247" s="126"/>
      <c r="N4247" s="126"/>
      <c r="O4247" s="126"/>
      <c r="P4247" s="126"/>
      <c r="Q4247" s="126"/>
    </row>
    <row r="4248" spans="11:17" ht="12.75">
      <c r="K4248" s="118"/>
      <c r="L4248" s="118"/>
      <c r="M4248" s="126"/>
      <c r="N4248" s="126"/>
      <c r="O4248" s="126"/>
      <c r="P4248" s="126"/>
      <c r="Q4248" s="126"/>
    </row>
    <row r="4249" spans="11:17" ht="12.75">
      <c r="K4249" s="118"/>
      <c r="L4249" s="118"/>
      <c r="M4249" s="126"/>
      <c r="N4249" s="126"/>
      <c r="O4249" s="126"/>
      <c r="P4249" s="126"/>
      <c r="Q4249" s="126"/>
    </row>
    <row r="4250" spans="11:17" ht="12.75">
      <c r="K4250" s="118"/>
      <c r="L4250" s="118"/>
      <c r="M4250" s="126"/>
      <c r="N4250" s="126"/>
      <c r="O4250" s="126"/>
      <c r="P4250" s="126"/>
      <c r="Q4250" s="126"/>
    </row>
    <row r="4251" spans="11:17" ht="12.75">
      <c r="K4251" s="118"/>
      <c r="L4251" s="118"/>
      <c r="M4251" s="126"/>
      <c r="N4251" s="126"/>
      <c r="O4251" s="126"/>
      <c r="P4251" s="126"/>
      <c r="Q4251" s="126"/>
    </row>
    <row r="4252" spans="11:17" ht="12.75">
      <c r="K4252" s="118"/>
      <c r="L4252" s="118"/>
      <c r="M4252" s="126"/>
      <c r="N4252" s="126"/>
      <c r="O4252" s="126"/>
      <c r="P4252" s="126"/>
      <c r="Q4252" s="126"/>
    </row>
    <row r="4253" spans="11:17" ht="12.75">
      <c r="K4253" s="118"/>
      <c r="L4253" s="118"/>
      <c r="M4253" s="126"/>
      <c r="N4253" s="126"/>
      <c r="O4253" s="126"/>
      <c r="P4253" s="126"/>
      <c r="Q4253" s="126"/>
    </row>
    <row r="4254" spans="11:17" ht="12.75">
      <c r="K4254" s="118"/>
      <c r="L4254" s="118"/>
      <c r="M4254" s="126"/>
      <c r="N4254" s="126"/>
      <c r="O4254" s="126"/>
      <c r="P4254" s="126"/>
      <c r="Q4254" s="126"/>
    </row>
    <row r="4255" spans="11:17" ht="12.75">
      <c r="K4255" s="118"/>
      <c r="L4255" s="118"/>
      <c r="M4255" s="126"/>
      <c r="N4255" s="126"/>
      <c r="O4255" s="126"/>
      <c r="P4255" s="126"/>
      <c r="Q4255" s="126"/>
    </row>
    <row r="4256" spans="11:17" ht="12.75">
      <c r="K4256" s="118"/>
      <c r="L4256" s="118"/>
      <c r="M4256" s="126"/>
      <c r="N4256" s="126"/>
      <c r="O4256" s="126"/>
      <c r="P4256" s="126"/>
      <c r="Q4256" s="126"/>
    </row>
    <row r="4257" spans="11:17" ht="12.75">
      <c r="K4257" s="118"/>
      <c r="L4257" s="118"/>
      <c r="M4257" s="126"/>
      <c r="N4257" s="126"/>
      <c r="O4257" s="126"/>
      <c r="P4257" s="126"/>
      <c r="Q4257" s="126"/>
    </row>
    <row r="4258" spans="11:17" ht="12.75">
      <c r="K4258" s="118"/>
      <c r="L4258" s="118"/>
      <c r="M4258" s="126"/>
      <c r="N4258" s="126"/>
      <c r="O4258" s="126"/>
      <c r="P4258" s="126"/>
      <c r="Q4258" s="126"/>
    </row>
    <row r="4259" spans="11:17" ht="12.75">
      <c r="K4259" s="118"/>
      <c r="L4259" s="118"/>
      <c r="M4259" s="126"/>
      <c r="N4259" s="126"/>
      <c r="O4259" s="126"/>
      <c r="P4259" s="126"/>
      <c r="Q4259" s="126"/>
    </row>
    <row r="4260" spans="11:17" ht="12.75">
      <c r="K4260" s="118"/>
      <c r="L4260" s="118"/>
      <c r="M4260" s="126"/>
      <c r="N4260" s="126"/>
      <c r="O4260" s="126"/>
      <c r="P4260" s="126"/>
      <c r="Q4260" s="126"/>
    </row>
    <row r="4261" spans="11:17" ht="12.75">
      <c r="K4261" s="118"/>
      <c r="L4261" s="118"/>
      <c r="M4261" s="126"/>
      <c r="N4261" s="126"/>
      <c r="O4261" s="126"/>
      <c r="P4261" s="126"/>
      <c r="Q4261" s="126"/>
    </row>
    <row r="4262" spans="11:17" ht="12.75">
      <c r="K4262" s="118"/>
      <c r="L4262" s="118"/>
      <c r="M4262" s="126"/>
      <c r="N4262" s="126"/>
      <c r="O4262" s="126"/>
      <c r="P4262" s="126"/>
      <c r="Q4262" s="126"/>
    </row>
    <row r="4263" spans="11:17" ht="12.75">
      <c r="K4263" s="118"/>
      <c r="L4263" s="118"/>
      <c r="M4263" s="126"/>
      <c r="N4263" s="126"/>
      <c r="O4263" s="126"/>
      <c r="P4263" s="126"/>
      <c r="Q4263" s="126"/>
    </row>
    <row r="4264" spans="11:17" ht="12.75">
      <c r="K4264" s="118"/>
      <c r="L4264" s="118"/>
      <c r="M4264" s="126"/>
      <c r="N4264" s="126"/>
      <c r="O4264" s="126"/>
      <c r="P4264" s="126"/>
      <c r="Q4264" s="126"/>
    </row>
    <row r="4265" spans="11:17" ht="12.75">
      <c r="K4265" s="118"/>
      <c r="L4265" s="118"/>
      <c r="M4265" s="126"/>
      <c r="N4265" s="126"/>
      <c r="O4265" s="126"/>
      <c r="P4265" s="126"/>
      <c r="Q4265" s="126"/>
    </row>
    <row r="4266" spans="11:17" ht="12.75">
      <c r="K4266" s="118"/>
      <c r="L4266" s="118"/>
      <c r="M4266" s="126"/>
      <c r="N4266" s="126"/>
      <c r="O4266" s="126"/>
      <c r="P4266" s="126"/>
      <c r="Q4266" s="126"/>
    </row>
    <row r="4267" spans="11:17" ht="12.75">
      <c r="K4267" s="118"/>
      <c r="L4267" s="118"/>
      <c r="M4267" s="126"/>
      <c r="N4267" s="126"/>
      <c r="O4267" s="126"/>
      <c r="P4267" s="126"/>
      <c r="Q4267" s="126"/>
    </row>
    <row r="4268" spans="11:17" ht="12.75">
      <c r="K4268" s="118"/>
      <c r="L4268" s="118"/>
      <c r="M4268" s="126"/>
      <c r="N4268" s="126"/>
      <c r="O4268" s="126"/>
      <c r="P4268" s="126"/>
      <c r="Q4268" s="126"/>
    </row>
    <row r="4269" spans="11:17" ht="12.75">
      <c r="K4269" s="118"/>
      <c r="L4269" s="118"/>
      <c r="M4269" s="126"/>
      <c r="N4269" s="126"/>
      <c r="O4269" s="126"/>
      <c r="P4269" s="126"/>
      <c r="Q4269" s="126"/>
    </row>
    <row r="4270" spans="11:17" ht="12.75">
      <c r="K4270" s="118"/>
      <c r="L4270" s="118"/>
      <c r="M4270" s="126"/>
      <c r="N4270" s="126"/>
      <c r="O4270" s="126"/>
      <c r="P4270" s="126"/>
      <c r="Q4270" s="126"/>
    </row>
    <row r="4271" spans="11:17" ht="12.75">
      <c r="K4271" s="118"/>
      <c r="L4271" s="118"/>
      <c r="M4271" s="126"/>
      <c r="N4271" s="126"/>
      <c r="O4271" s="126"/>
      <c r="P4271" s="126"/>
      <c r="Q4271" s="126"/>
    </row>
    <row r="4272" spans="11:17" ht="12.75">
      <c r="K4272" s="118"/>
      <c r="L4272" s="118"/>
      <c r="M4272" s="126"/>
      <c r="N4272" s="126"/>
      <c r="O4272" s="126"/>
      <c r="P4272" s="126"/>
      <c r="Q4272" s="126"/>
    </row>
    <row r="4273" spans="11:17" ht="12.75">
      <c r="K4273" s="118"/>
      <c r="L4273" s="118"/>
      <c r="M4273" s="126"/>
      <c r="N4273" s="126"/>
      <c r="O4273" s="126"/>
      <c r="P4273" s="126"/>
      <c r="Q4273" s="126"/>
    </row>
    <row r="4274" spans="11:17" ht="12.75">
      <c r="K4274" s="118"/>
      <c r="L4274" s="118"/>
      <c r="M4274" s="126"/>
      <c r="N4274" s="126"/>
      <c r="O4274" s="126"/>
      <c r="P4274" s="126"/>
      <c r="Q4274" s="126"/>
    </row>
    <row r="4275" spans="11:17" ht="12.75">
      <c r="K4275" s="118"/>
      <c r="L4275" s="118"/>
      <c r="M4275" s="126"/>
      <c r="N4275" s="126"/>
      <c r="O4275" s="126"/>
      <c r="P4275" s="126"/>
      <c r="Q4275" s="126"/>
    </row>
    <row r="4276" spans="11:17" ht="12.75">
      <c r="K4276" s="118"/>
      <c r="L4276" s="118"/>
      <c r="M4276" s="126"/>
      <c r="N4276" s="126"/>
      <c r="O4276" s="126"/>
      <c r="P4276" s="126"/>
      <c r="Q4276" s="126"/>
    </row>
    <row r="4277" spans="11:17" ht="12.75">
      <c r="K4277" s="118"/>
      <c r="L4277" s="118"/>
      <c r="M4277" s="126"/>
      <c r="N4277" s="126"/>
      <c r="O4277" s="126"/>
      <c r="P4277" s="126"/>
      <c r="Q4277" s="126"/>
    </row>
    <row r="4278" spans="11:17" ht="12.75">
      <c r="K4278" s="118"/>
      <c r="L4278" s="118"/>
      <c r="M4278" s="126"/>
      <c r="N4278" s="126"/>
      <c r="O4278" s="126"/>
      <c r="P4278" s="126"/>
      <c r="Q4278" s="126"/>
    </row>
    <row r="4279" spans="11:17" ht="12.75">
      <c r="K4279" s="118"/>
      <c r="L4279" s="118"/>
      <c r="M4279" s="126"/>
      <c r="N4279" s="126"/>
      <c r="O4279" s="126"/>
      <c r="P4279" s="126"/>
      <c r="Q4279" s="126"/>
    </row>
    <row r="4280" spans="11:17" ht="12.75">
      <c r="K4280" s="118"/>
      <c r="L4280" s="118"/>
      <c r="M4280" s="126"/>
      <c r="N4280" s="126"/>
      <c r="O4280" s="126"/>
      <c r="P4280" s="126"/>
      <c r="Q4280" s="126"/>
    </row>
    <row r="4281" spans="11:17" ht="12.75">
      <c r="K4281" s="118"/>
      <c r="L4281" s="118"/>
      <c r="M4281" s="126"/>
      <c r="N4281" s="126"/>
      <c r="O4281" s="126"/>
      <c r="P4281" s="126"/>
      <c r="Q4281" s="126"/>
    </row>
    <row r="4282" spans="11:17" ht="12.75">
      <c r="K4282" s="118"/>
      <c r="L4282" s="118"/>
      <c r="M4282" s="126"/>
      <c r="N4282" s="126"/>
      <c r="O4282" s="126"/>
      <c r="P4282" s="126"/>
      <c r="Q4282" s="126"/>
    </row>
    <row r="4283" spans="11:17" ht="12.75">
      <c r="K4283" s="118"/>
      <c r="L4283" s="118"/>
      <c r="M4283" s="126"/>
      <c r="N4283" s="126"/>
      <c r="O4283" s="126"/>
      <c r="P4283" s="126"/>
      <c r="Q4283" s="126"/>
    </row>
    <row r="4284" spans="11:17" ht="12.75">
      <c r="K4284" s="118"/>
      <c r="L4284" s="118"/>
      <c r="M4284" s="126"/>
      <c r="N4284" s="126"/>
      <c r="O4284" s="126"/>
      <c r="P4284" s="126"/>
      <c r="Q4284" s="126"/>
    </row>
    <row r="4285" spans="11:17" ht="12.75">
      <c r="K4285" s="118"/>
      <c r="L4285" s="118"/>
      <c r="M4285" s="126"/>
      <c r="N4285" s="126"/>
      <c r="O4285" s="126"/>
      <c r="P4285" s="126"/>
      <c r="Q4285" s="126"/>
    </row>
    <row r="4286" spans="11:17" ht="12.75">
      <c r="K4286" s="118"/>
      <c r="L4286" s="118"/>
      <c r="M4286" s="126"/>
      <c r="N4286" s="126"/>
      <c r="O4286" s="126"/>
      <c r="P4286" s="126"/>
      <c r="Q4286" s="126"/>
    </row>
    <row r="4287" spans="11:17" ht="12.75">
      <c r="K4287" s="118"/>
      <c r="L4287" s="118"/>
      <c r="M4287" s="126"/>
      <c r="N4287" s="126"/>
      <c r="O4287" s="126"/>
      <c r="P4287" s="126"/>
      <c r="Q4287" s="126"/>
    </row>
    <row r="4288" spans="11:17" ht="12.75">
      <c r="K4288" s="118"/>
      <c r="L4288" s="118"/>
      <c r="M4288" s="126"/>
      <c r="N4288" s="126"/>
      <c r="O4288" s="126"/>
      <c r="P4288" s="126"/>
      <c r="Q4288" s="126"/>
    </row>
    <row r="4289" spans="11:17" ht="12.75">
      <c r="K4289" s="118"/>
      <c r="L4289" s="118"/>
      <c r="M4289" s="126"/>
      <c r="N4289" s="126"/>
      <c r="O4289" s="126"/>
      <c r="P4289" s="126"/>
      <c r="Q4289" s="126"/>
    </row>
    <row r="4290" spans="11:17" ht="12.75">
      <c r="K4290" s="118"/>
      <c r="L4290" s="118"/>
      <c r="M4290" s="126"/>
      <c r="N4290" s="126"/>
      <c r="O4290" s="126"/>
      <c r="P4290" s="126"/>
      <c r="Q4290" s="126"/>
    </row>
    <row r="4291" spans="11:17" ht="12.75">
      <c r="K4291" s="118"/>
      <c r="L4291" s="118"/>
      <c r="M4291" s="126"/>
      <c r="N4291" s="126"/>
      <c r="O4291" s="126"/>
      <c r="P4291" s="126"/>
      <c r="Q4291" s="126"/>
    </row>
  </sheetData>
  <sheetProtection/>
  <hyperlinks>
    <hyperlink ref="S15" location="Simulation!L385" display="Simulation!L385"/>
    <hyperlink ref="S380" location="Simulation!L14" display="Simulation!L14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Schneider-Electric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cp:lastPrinted>2007-01-10T14:03:19Z</cp:lastPrinted>
  <dcterms:created xsi:type="dcterms:W3CDTF">2005-03-14T14:35:16Z</dcterms:created>
  <dcterms:modified xsi:type="dcterms:W3CDTF">2009-01-29T16:53:09Z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